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27795" windowHeight="13875"/>
  </bookViews>
  <sheets>
    <sheet name="начальная школа" sheetId="1" r:id="rId1"/>
    <sheet name="12 лет и старше" sheetId="2" r:id="rId2"/>
    <sheet name="Лист3" sheetId="3" r:id="rId3"/>
    <sheet name="Лист4" sheetId="4" r:id="rId4"/>
  </sheets>
  <definedNames>
    <definedName name="_xlnm.Print_Area" localSheetId="1">'12 лет и старше'!$A$1:$P$427</definedName>
    <definedName name="_xlnm.Print_Area" localSheetId="0">'начальная школа'!$A$1:$P$316</definedName>
  </definedNames>
  <calcPr calcId="145621"/>
</workbook>
</file>

<file path=xl/calcChain.xml><?xml version="1.0" encoding="utf-8"?>
<calcChain xmlns="http://schemas.openxmlformats.org/spreadsheetml/2006/main">
  <c r="E21" i="2" l="1"/>
  <c r="G21" i="2" s="1"/>
  <c r="G20" i="2"/>
  <c r="G362" i="2" l="1"/>
  <c r="G405" i="2" l="1"/>
  <c r="G404" i="2"/>
  <c r="C406" i="2"/>
  <c r="C398" i="2"/>
  <c r="C392" i="2"/>
  <c r="C373" i="2"/>
  <c r="G372" i="2"/>
  <c r="G371" i="2"/>
  <c r="G370" i="2"/>
  <c r="G369" i="2"/>
  <c r="G368" i="2"/>
  <c r="G367" i="2"/>
  <c r="D373" i="2"/>
  <c r="E373" i="2"/>
  <c r="F373" i="2"/>
  <c r="H373" i="2"/>
  <c r="I373" i="2"/>
  <c r="J373" i="2"/>
  <c r="K373" i="2"/>
  <c r="L373" i="2"/>
  <c r="M373" i="2"/>
  <c r="N373" i="2"/>
  <c r="O373" i="2"/>
  <c r="G364" i="2"/>
  <c r="G354" i="2"/>
  <c r="C365" i="2"/>
  <c r="C358" i="2"/>
  <c r="C339" i="2"/>
  <c r="G338" i="2"/>
  <c r="G337" i="2"/>
  <c r="G336" i="2"/>
  <c r="G335" i="2"/>
  <c r="G334" i="2"/>
  <c r="G333" i="2"/>
  <c r="G373" i="2" l="1"/>
  <c r="G330" i="2"/>
  <c r="C331" i="2"/>
  <c r="C324" i="2"/>
  <c r="G303" i="2" l="1"/>
  <c r="G302" i="2"/>
  <c r="G301" i="2"/>
  <c r="G300" i="2"/>
  <c r="G299" i="2"/>
  <c r="G298" i="2"/>
  <c r="G286" i="2"/>
  <c r="G288" i="2"/>
  <c r="G287" i="2"/>
  <c r="G285" i="2"/>
  <c r="G284" i="2"/>
  <c r="C304" i="2" l="1"/>
  <c r="C289" i="2"/>
  <c r="G293" i="2"/>
  <c r="G292" i="2"/>
  <c r="C296" i="2"/>
  <c r="G201" i="2"/>
  <c r="G200" i="2"/>
  <c r="G199" i="2"/>
  <c r="G198" i="2"/>
  <c r="G197" i="2"/>
  <c r="G196" i="2"/>
  <c r="G193" i="2"/>
  <c r="G192" i="2"/>
  <c r="G191" i="2"/>
  <c r="G190" i="2"/>
  <c r="G187" i="2"/>
  <c r="G186" i="2"/>
  <c r="G185" i="2"/>
  <c r="G184" i="2"/>
  <c r="G183" i="2"/>
  <c r="G235" i="2" l="1"/>
  <c r="G234" i="2"/>
  <c r="G233" i="2"/>
  <c r="G232" i="2"/>
  <c r="G231" i="2"/>
  <c r="G230" i="2"/>
  <c r="G227" i="2"/>
  <c r="G226" i="2"/>
  <c r="G225" i="2"/>
  <c r="G224" i="2"/>
  <c r="G223" i="2"/>
  <c r="G220" i="2"/>
  <c r="G219" i="2"/>
  <c r="G218" i="2"/>
  <c r="G217" i="2"/>
  <c r="G216" i="2"/>
  <c r="G270" i="2"/>
  <c r="G269" i="2"/>
  <c r="G268" i="2"/>
  <c r="G267" i="2"/>
  <c r="G266" i="2"/>
  <c r="G265" i="2"/>
  <c r="G262" i="2"/>
  <c r="G261" i="2"/>
  <c r="G260" i="2"/>
  <c r="G259" i="2"/>
  <c r="E258" i="2"/>
  <c r="D258" i="2"/>
  <c r="G255" i="2"/>
  <c r="G254" i="2"/>
  <c r="G253" i="2"/>
  <c r="G252" i="2"/>
  <c r="G251" i="2"/>
  <c r="C263" i="2"/>
  <c r="C256" i="2"/>
  <c r="C236" i="2"/>
  <c r="C228" i="2"/>
  <c r="C221" i="2"/>
  <c r="C202" i="2"/>
  <c r="C194" i="2"/>
  <c r="C188" i="2"/>
  <c r="G168" i="2"/>
  <c r="G167" i="2"/>
  <c r="G166" i="2"/>
  <c r="G165" i="2"/>
  <c r="G164" i="2"/>
  <c r="G163" i="2"/>
  <c r="C169" i="2"/>
  <c r="C161" i="2"/>
  <c r="G149" i="2"/>
  <c r="C154" i="2"/>
  <c r="C135" i="2"/>
  <c r="G134" i="2"/>
  <c r="G133" i="2"/>
  <c r="G132" i="2"/>
  <c r="G131" i="2"/>
  <c r="G130" i="2"/>
  <c r="G129" i="2"/>
  <c r="G125" i="2"/>
  <c r="G126" i="2"/>
  <c r="C127" i="2"/>
  <c r="G116" i="2"/>
  <c r="C120" i="2"/>
  <c r="G118" i="2"/>
  <c r="G115" i="2"/>
  <c r="G100" i="2"/>
  <c r="G99" i="2"/>
  <c r="G98" i="2"/>
  <c r="G97" i="2"/>
  <c r="G96" i="2"/>
  <c r="G95" i="2"/>
  <c r="C101" i="2"/>
  <c r="G90" i="2"/>
  <c r="C93" i="2"/>
  <c r="G89" i="2"/>
  <c r="C86" i="2"/>
  <c r="G82" i="2"/>
  <c r="G81" i="2"/>
  <c r="C67" i="2"/>
  <c r="G64" i="2"/>
  <c r="G46" i="1"/>
  <c r="G66" i="2"/>
  <c r="G65" i="2"/>
  <c r="G63" i="2"/>
  <c r="G62" i="2"/>
  <c r="G61" i="2"/>
  <c r="G55" i="2"/>
  <c r="C59" i="2"/>
  <c r="C52" i="2"/>
  <c r="C31" i="2"/>
  <c r="G30" i="2"/>
  <c r="G29" i="2"/>
  <c r="G28" i="2"/>
  <c r="G27" i="2"/>
  <c r="G26" i="2"/>
  <c r="G25" i="2"/>
  <c r="C23" i="2"/>
  <c r="G19" i="2"/>
  <c r="C16" i="2"/>
  <c r="G11" i="2"/>
  <c r="C294" i="1"/>
  <c r="G285" i="1"/>
  <c r="C290" i="1"/>
  <c r="C281" i="1"/>
  <c r="C296" i="1" l="1"/>
  <c r="G258" i="2"/>
  <c r="G195" i="1"/>
  <c r="G250" i="1"/>
  <c r="C259" i="1"/>
  <c r="G254" i="1"/>
  <c r="C263" i="1"/>
  <c r="C251" i="1"/>
  <c r="G253" i="1"/>
  <c r="C234" i="1"/>
  <c r="C229" i="1"/>
  <c r="G223" i="1"/>
  <c r="C221" i="1"/>
  <c r="C203" i="1"/>
  <c r="G202" i="1"/>
  <c r="C199" i="1"/>
  <c r="G193" i="1"/>
  <c r="G188" i="1"/>
  <c r="C191" i="1"/>
  <c r="G158" i="1"/>
  <c r="G173" i="1"/>
  <c r="C170" i="1"/>
  <c r="G165" i="1"/>
  <c r="G166" i="1"/>
  <c r="C162" i="1"/>
  <c r="G159" i="1"/>
  <c r="C145" i="1"/>
  <c r="C141" i="1"/>
  <c r="C133" i="1"/>
  <c r="G132" i="1"/>
  <c r="D111" i="1"/>
  <c r="G107" i="1"/>
  <c r="C115" i="1"/>
  <c r="C111" i="1"/>
  <c r="C103" i="1"/>
  <c r="C86" i="1"/>
  <c r="C81" i="1"/>
  <c r="C73" i="1"/>
  <c r="G53" i="1"/>
  <c r="C55" i="1"/>
  <c r="C50" i="1"/>
  <c r="C41" i="1"/>
  <c r="C12" i="1"/>
  <c r="C20" i="1"/>
  <c r="C26" i="1" l="1"/>
  <c r="C117" i="1"/>
  <c r="C408" i="2"/>
  <c r="G402" i="2" l="1"/>
  <c r="G403" i="2"/>
  <c r="G397" i="2"/>
  <c r="G396" i="2"/>
  <c r="G395" i="2"/>
  <c r="G391" i="2"/>
  <c r="G390" i="2"/>
  <c r="G389" i="2"/>
  <c r="G353" i="2"/>
  <c r="G360" i="2"/>
  <c r="G355" i="2"/>
  <c r="G357" i="2"/>
  <c r="G356" i="2"/>
  <c r="G361" i="2"/>
  <c r="G363" i="2"/>
  <c r="G323" i="2"/>
  <c r="G322" i="2"/>
  <c r="G321" i="2"/>
  <c r="G320" i="2"/>
  <c r="G319" i="2"/>
  <c r="D324" i="2"/>
  <c r="E324" i="2"/>
  <c r="F324" i="2"/>
  <c r="H324" i="2"/>
  <c r="I324" i="2"/>
  <c r="J324" i="2"/>
  <c r="K324" i="2"/>
  <c r="L324" i="2"/>
  <c r="M324" i="2"/>
  <c r="N324" i="2"/>
  <c r="O324" i="2"/>
  <c r="G327" i="2"/>
  <c r="G329" i="2"/>
  <c r="G328" i="2"/>
  <c r="G326" i="2"/>
  <c r="G291" i="2" l="1"/>
  <c r="G295" i="2"/>
  <c r="G294" i="2"/>
  <c r="G148" i="2" l="1"/>
  <c r="G160" i="2"/>
  <c r="G159" i="2"/>
  <c r="G153" i="2"/>
  <c r="G152" i="2"/>
  <c r="G151" i="2"/>
  <c r="G122" i="2"/>
  <c r="K120" i="2"/>
  <c r="G123" i="2"/>
  <c r="G117" i="2"/>
  <c r="G119" i="2"/>
  <c r="G83" i="2" l="1"/>
  <c r="G88" i="2"/>
  <c r="G92" i="2"/>
  <c r="G91" i="2"/>
  <c r="G84" i="2"/>
  <c r="G85" i="2"/>
  <c r="G48" i="2"/>
  <c r="G49" i="2"/>
  <c r="G50" i="2"/>
  <c r="G51" i="2"/>
  <c r="G47" i="2"/>
  <c r="G56" i="2"/>
  <c r="G57" i="2"/>
  <c r="E58" i="2"/>
  <c r="F54" i="2"/>
  <c r="E54" i="2"/>
  <c r="D54" i="2"/>
  <c r="G13" i="2"/>
  <c r="G14" i="2"/>
  <c r="G15" i="2"/>
  <c r="G10" i="2"/>
  <c r="E12" i="2"/>
  <c r="D12" i="2"/>
  <c r="G12" i="2" l="1"/>
  <c r="G54" i="2"/>
  <c r="G58" i="2"/>
  <c r="G18" i="2"/>
  <c r="G22" i="2"/>
  <c r="D31" i="2"/>
  <c r="E31" i="2"/>
  <c r="F31" i="2"/>
  <c r="H31" i="2"/>
  <c r="I31" i="2"/>
  <c r="J31" i="2"/>
  <c r="K31" i="2"/>
  <c r="L31" i="2"/>
  <c r="M31" i="2"/>
  <c r="N31" i="2"/>
  <c r="O31" i="2"/>
  <c r="C33" i="2"/>
  <c r="C34" i="2"/>
  <c r="G400" i="2"/>
  <c r="G401" i="2"/>
  <c r="G284" i="1"/>
  <c r="G286" i="1"/>
  <c r="G287" i="1"/>
  <c r="G288" i="1"/>
  <c r="G289" i="1"/>
  <c r="G283" i="1"/>
  <c r="G276" i="1"/>
  <c r="G293" i="1"/>
  <c r="G278" i="1"/>
  <c r="G277" i="1"/>
  <c r="G280" i="1"/>
  <c r="G279" i="1"/>
  <c r="G249" i="1"/>
  <c r="G256" i="1"/>
  <c r="G248" i="1"/>
  <c r="G255" i="1"/>
  <c r="G258" i="1"/>
  <c r="G257" i="1"/>
  <c r="G262" i="1"/>
  <c r="G31" i="2" l="1"/>
  <c r="G290" i="1"/>
  <c r="G224" i="1"/>
  <c r="G225" i="1"/>
  <c r="G226" i="1"/>
  <c r="G233" i="1"/>
  <c r="G232" i="1"/>
  <c r="G231" i="1"/>
  <c r="G228" i="1"/>
  <c r="G227" i="1"/>
  <c r="F221" i="1"/>
  <c r="G219" i="1"/>
  <c r="G218" i="1"/>
  <c r="G217" i="1"/>
  <c r="G216" i="1"/>
  <c r="G131" i="1" l="1"/>
  <c r="G140" i="1"/>
  <c r="G139" i="1"/>
  <c r="G84" i="1"/>
  <c r="G85" i="1"/>
  <c r="D86" i="1"/>
  <c r="G15" i="1" l="1"/>
  <c r="G18" i="1"/>
  <c r="F12" i="1"/>
  <c r="G394" i="2"/>
  <c r="G388" i="2"/>
  <c r="G387" i="2"/>
  <c r="G318" i="2"/>
  <c r="G324" i="2" s="1"/>
  <c r="G157" i="2"/>
  <c r="G158" i="2"/>
  <c r="G156" i="2"/>
  <c r="G150" i="2"/>
  <c r="G124" i="2"/>
  <c r="C304" i="1"/>
  <c r="G292" i="1"/>
  <c r="G261" i="1"/>
  <c r="G247" i="1"/>
  <c r="G220" i="1"/>
  <c r="G201" i="1"/>
  <c r="G194" i="1"/>
  <c r="G196" i="1"/>
  <c r="G197" i="1"/>
  <c r="G198" i="1"/>
  <c r="G189" i="1"/>
  <c r="G190" i="1"/>
  <c r="G187" i="1"/>
  <c r="G172" i="1"/>
  <c r="G167" i="1"/>
  <c r="G168" i="1"/>
  <c r="G169" i="1"/>
  <c r="G164" i="1"/>
  <c r="G160" i="1"/>
  <c r="G161" i="1"/>
  <c r="G144" i="1"/>
  <c r="G143" i="1"/>
  <c r="G136" i="1"/>
  <c r="G137" i="1"/>
  <c r="G138" i="1"/>
  <c r="G135" i="1"/>
  <c r="G129" i="1"/>
  <c r="G130" i="1"/>
  <c r="G128" i="1"/>
  <c r="G114" i="1"/>
  <c r="G113" i="1"/>
  <c r="G106" i="1"/>
  <c r="G108" i="1"/>
  <c r="G109" i="1"/>
  <c r="G110" i="1"/>
  <c r="G105" i="1"/>
  <c r="G100" i="1"/>
  <c r="G101" i="1"/>
  <c r="G102" i="1"/>
  <c r="G99" i="1"/>
  <c r="G83" i="1"/>
  <c r="G76" i="1"/>
  <c r="G77" i="1"/>
  <c r="G78" i="1"/>
  <c r="G79" i="1"/>
  <c r="G80" i="1"/>
  <c r="G75" i="1"/>
  <c r="G69" i="1"/>
  <c r="G70" i="1"/>
  <c r="G71" i="1"/>
  <c r="G72" i="1"/>
  <c r="G68" i="1"/>
  <c r="G54" i="1"/>
  <c r="G52" i="1"/>
  <c r="G44" i="1"/>
  <c r="G45" i="1"/>
  <c r="G47" i="1"/>
  <c r="G48" i="1"/>
  <c r="G49" i="1"/>
  <c r="G43" i="1"/>
  <c r="G38" i="1"/>
  <c r="G39" i="1"/>
  <c r="G40" i="1"/>
  <c r="G37" i="1"/>
  <c r="G16" i="1"/>
  <c r="G17" i="1"/>
  <c r="G19" i="1"/>
  <c r="G14" i="1"/>
  <c r="G23" i="1"/>
  <c r="G22" i="1"/>
  <c r="G8" i="1"/>
  <c r="G9" i="1"/>
  <c r="G10" i="1"/>
  <c r="G11" i="1"/>
  <c r="G7" i="1"/>
  <c r="C309" i="1" l="1"/>
  <c r="C418" i="2"/>
  <c r="C417" i="2"/>
  <c r="C416" i="2"/>
  <c r="C409" i="2" l="1"/>
  <c r="O406" i="2"/>
  <c r="N406" i="2"/>
  <c r="M406" i="2"/>
  <c r="L406" i="2"/>
  <c r="K406" i="2"/>
  <c r="J406" i="2"/>
  <c r="I406" i="2"/>
  <c r="H406" i="2"/>
  <c r="F406" i="2"/>
  <c r="E406" i="2"/>
  <c r="D406" i="2"/>
  <c r="G406" i="2"/>
  <c r="O398" i="2"/>
  <c r="N398" i="2"/>
  <c r="M398" i="2"/>
  <c r="L398" i="2"/>
  <c r="K398" i="2"/>
  <c r="J398" i="2"/>
  <c r="I398" i="2"/>
  <c r="H398" i="2"/>
  <c r="F398" i="2"/>
  <c r="E398" i="2"/>
  <c r="D398" i="2"/>
  <c r="G398" i="2"/>
  <c r="O392" i="2"/>
  <c r="N392" i="2"/>
  <c r="M392" i="2"/>
  <c r="L392" i="2"/>
  <c r="K392" i="2"/>
  <c r="J392" i="2"/>
  <c r="I392" i="2"/>
  <c r="H392" i="2"/>
  <c r="F392" i="2"/>
  <c r="E392" i="2"/>
  <c r="D392" i="2"/>
  <c r="G392" i="2"/>
  <c r="C376" i="2"/>
  <c r="C375" i="2"/>
  <c r="O365" i="2"/>
  <c r="N365" i="2"/>
  <c r="M365" i="2"/>
  <c r="L365" i="2"/>
  <c r="K365" i="2"/>
  <c r="J365" i="2"/>
  <c r="I365" i="2"/>
  <c r="H365" i="2"/>
  <c r="F365" i="2"/>
  <c r="E365" i="2"/>
  <c r="D365" i="2"/>
  <c r="G365" i="2"/>
  <c r="O358" i="2"/>
  <c r="N358" i="2"/>
  <c r="M358" i="2"/>
  <c r="L358" i="2"/>
  <c r="K358" i="2"/>
  <c r="K375" i="2" s="1"/>
  <c r="J358" i="2"/>
  <c r="I358" i="2"/>
  <c r="H358" i="2"/>
  <c r="F358" i="2"/>
  <c r="F375" i="2" s="1"/>
  <c r="E358" i="2"/>
  <c r="D358" i="2"/>
  <c r="G358" i="2"/>
  <c r="C342" i="2"/>
  <c r="C341" i="2"/>
  <c r="O339" i="2"/>
  <c r="O341" i="2" s="1"/>
  <c r="N339" i="2"/>
  <c r="M339" i="2"/>
  <c r="M341" i="2" s="1"/>
  <c r="L339" i="2"/>
  <c r="K339" i="2"/>
  <c r="J339" i="2"/>
  <c r="J341" i="2" s="1"/>
  <c r="I339" i="2"/>
  <c r="I341" i="2" s="1"/>
  <c r="H339" i="2"/>
  <c r="F339" i="2"/>
  <c r="F341" i="2" s="1"/>
  <c r="E339" i="2"/>
  <c r="E341" i="2" s="1"/>
  <c r="D339" i="2"/>
  <c r="D341" i="2" s="1"/>
  <c r="G339" i="2"/>
  <c r="O331" i="2"/>
  <c r="N331" i="2"/>
  <c r="M331" i="2"/>
  <c r="L331" i="2"/>
  <c r="K331" i="2"/>
  <c r="J331" i="2"/>
  <c r="I331" i="2"/>
  <c r="H331" i="2"/>
  <c r="F331" i="2"/>
  <c r="E331" i="2"/>
  <c r="D331" i="2"/>
  <c r="G331" i="2"/>
  <c r="C307" i="2"/>
  <c r="C306" i="2"/>
  <c r="O304" i="2"/>
  <c r="N304" i="2"/>
  <c r="M304" i="2"/>
  <c r="L304" i="2"/>
  <c r="K304" i="2"/>
  <c r="J304" i="2"/>
  <c r="I304" i="2"/>
  <c r="H304" i="2"/>
  <c r="F304" i="2"/>
  <c r="E304" i="2"/>
  <c r="D304" i="2"/>
  <c r="G304" i="2"/>
  <c r="O296" i="2"/>
  <c r="N296" i="2"/>
  <c r="M296" i="2"/>
  <c r="L296" i="2"/>
  <c r="K296" i="2"/>
  <c r="J296" i="2"/>
  <c r="I296" i="2"/>
  <c r="H296" i="2"/>
  <c r="F296" i="2"/>
  <c r="E296" i="2"/>
  <c r="D296" i="2"/>
  <c r="G296" i="2"/>
  <c r="O289" i="2"/>
  <c r="N289" i="2"/>
  <c r="M289" i="2"/>
  <c r="L289" i="2"/>
  <c r="K289" i="2"/>
  <c r="J289" i="2"/>
  <c r="I289" i="2"/>
  <c r="H289" i="2"/>
  <c r="F289" i="2"/>
  <c r="E289" i="2"/>
  <c r="D289" i="2"/>
  <c r="G289" i="2"/>
  <c r="C274" i="2"/>
  <c r="C273" i="2"/>
  <c r="O271" i="2"/>
  <c r="N271" i="2"/>
  <c r="M271" i="2"/>
  <c r="L271" i="2"/>
  <c r="K271" i="2"/>
  <c r="J271" i="2"/>
  <c r="I271" i="2"/>
  <c r="H271" i="2"/>
  <c r="F271" i="2"/>
  <c r="E271" i="2"/>
  <c r="D271" i="2"/>
  <c r="G271" i="2"/>
  <c r="O263" i="2"/>
  <c r="N263" i="2"/>
  <c r="M263" i="2"/>
  <c r="L263" i="2"/>
  <c r="K263" i="2"/>
  <c r="J263" i="2"/>
  <c r="I263" i="2"/>
  <c r="H263" i="2"/>
  <c r="F263" i="2"/>
  <c r="E263" i="2"/>
  <c r="D263" i="2"/>
  <c r="G263" i="2"/>
  <c r="O256" i="2"/>
  <c r="N256" i="2"/>
  <c r="M256" i="2"/>
  <c r="L256" i="2"/>
  <c r="K256" i="2"/>
  <c r="J256" i="2"/>
  <c r="I256" i="2"/>
  <c r="H256" i="2"/>
  <c r="F256" i="2"/>
  <c r="E256" i="2"/>
  <c r="D256" i="2"/>
  <c r="G256" i="2"/>
  <c r="C239" i="2"/>
  <c r="C238" i="2"/>
  <c r="O236" i="2"/>
  <c r="N236" i="2"/>
  <c r="M236" i="2"/>
  <c r="L236" i="2"/>
  <c r="K236" i="2"/>
  <c r="J236" i="2"/>
  <c r="I236" i="2"/>
  <c r="H236" i="2"/>
  <c r="F236" i="2"/>
  <c r="E236" i="2"/>
  <c r="D236" i="2"/>
  <c r="G236" i="2"/>
  <c r="O228" i="2"/>
  <c r="N228" i="2"/>
  <c r="M228" i="2"/>
  <c r="L228" i="2"/>
  <c r="K228" i="2"/>
  <c r="J228" i="2"/>
  <c r="I228" i="2"/>
  <c r="H228" i="2"/>
  <c r="F228" i="2"/>
  <c r="E228" i="2"/>
  <c r="D228" i="2"/>
  <c r="G228" i="2"/>
  <c r="O221" i="2"/>
  <c r="N221" i="2"/>
  <c r="M221" i="2"/>
  <c r="L221" i="2"/>
  <c r="K221" i="2"/>
  <c r="J221" i="2"/>
  <c r="I221" i="2"/>
  <c r="H221" i="2"/>
  <c r="F221" i="2"/>
  <c r="E221" i="2"/>
  <c r="D221" i="2"/>
  <c r="G221" i="2"/>
  <c r="C205" i="2"/>
  <c r="C204" i="2"/>
  <c r="O202" i="2"/>
  <c r="N202" i="2"/>
  <c r="M202" i="2"/>
  <c r="L202" i="2"/>
  <c r="K202" i="2"/>
  <c r="J202" i="2"/>
  <c r="I202" i="2"/>
  <c r="H202" i="2"/>
  <c r="F202" i="2"/>
  <c r="E202" i="2"/>
  <c r="D202" i="2"/>
  <c r="G202" i="2"/>
  <c r="O194" i="2"/>
  <c r="N194" i="2"/>
  <c r="M194" i="2"/>
  <c r="L194" i="2"/>
  <c r="K194" i="2"/>
  <c r="J194" i="2"/>
  <c r="I194" i="2"/>
  <c r="H194" i="2"/>
  <c r="F194" i="2"/>
  <c r="E194" i="2"/>
  <c r="D194" i="2"/>
  <c r="G194" i="2"/>
  <c r="O188" i="2"/>
  <c r="N188" i="2"/>
  <c r="M188" i="2"/>
  <c r="L188" i="2"/>
  <c r="K188" i="2"/>
  <c r="J188" i="2"/>
  <c r="I188" i="2"/>
  <c r="H188" i="2"/>
  <c r="F188" i="2"/>
  <c r="E188" i="2"/>
  <c r="D188" i="2"/>
  <c r="G188" i="2"/>
  <c r="C172" i="2"/>
  <c r="C171" i="2"/>
  <c r="O169" i="2"/>
  <c r="N169" i="2"/>
  <c r="M169" i="2"/>
  <c r="L169" i="2"/>
  <c r="K169" i="2"/>
  <c r="J169" i="2"/>
  <c r="I169" i="2"/>
  <c r="H169" i="2"/>
  <c r="F169" i="2"/>
  <c r="E169" i="2"/>
  <c r="D169" i="2"/>
  <c r="G169" i="2"/>
  <c r="O161" i="2"/>
  <c r="N161" i="2"/>
  <c r="M161" i="2"/>
  <c r="L161" i="2"/>
  <c r="K161" i="2"/>
  <c r="J161" i="2"/>
  <c r="I161" i="2"/>
  <c r="H161" i="2"/>
  <c r="F161" i="2"/>
  <c r="E161" i="2"/>
  <c r="D161" i="2"/>
  <c r="G161" i="2"/>
  <c r="O154" i="2"/>
  <c r="N154" i="2"/>
  <c r="M154" i="2"/>
  <c r="L154" i="2"/>
  <c r="K154" i="2"/>
  <c r="J154" i="2"/>
  <c r="I154" i="2"/>
  <c r="H154" i="2"/>
  <c r="F154" i="2"/>
  <c r="E154" i="2"/>
  <c r="D154" i="2"/>
  <c r="G154" i="2"/>
  <c r="C138" i="2"/>
  <c r="C137" i="2"/>
  <c r="O135" i="2"/>
  <c r="N135" i="2"/>
  <c r="M135" i="2"/>
  <c r="L135" i="2"/>
  <c r="K135" i="2"/>
  <c r="K137" i="2" s="1"/>
  <c r="J135" i="2"/>
  <c r="I135" i="2"/>
  <c r="H135" i="2"/>
  <c r="F135" i="2"/>
  <c r="E135" i="2"/>
  <c r="D135" i="2"/>
  <c r="G135" i="2"/>
  <c r="O127" i="2"/>
  <c r="N127" i="2"/>
  <c r="M127" i="2"/>
  <c r="L127" i="2"/>
  <c r="K127" i="2"/>
  <c r="J127" i="2"/>
  <c r="I127" i="2"/>
  <c r="H127" i="2"/>
  <c r="F127" i="2"/>
  <c r="E127" i="2"/>
  <c r="D127" i="2"/>
  <c r="G127" i="2"/>
  <c r="O120" i="2"/>
  <c r="N120" i="2"/>
  <c r="M120" i="2"/>
  <c r="L120" i="2"/>
  <c r="J120" i="2"/>
  <c r="I120" i="2"/>
  <c r="H120" i="2"/>
  <c r="F120" i="2"/>
  <c r="E120" i="2"/>
  <c r="D120" i="2"/>
  <c r="G120" i="2"/>
  <c r="C104" i="2"/>
  <c r="C103" i="2"/>
  <c r="O101" i="2"/>
  <c r="N101" i="2"/>
  <c r="M101" i="2"/>
  <c r="L101" i="2"/>
  <c r="K101" i="2"/>
  <c r="J101" i="2"/>
  <c r="I101" i="2"/>
  <c r="H101" i="2"/>
  <c r="F101" i="2"/>
  <c r="E101" i="2"/>
  <c r="D101" i="2"/>
  <c r="G101" i="2"/>
  <c r="O93" i="2"/>
  <c r="N93" i="2"/>
  <c r="M93" i="2"/>
  <c r="L93" i="2"/>
  <c r="K93" i="2"/>
  <c r="J93" i="2"/>
  <c r="I93" i="2"/>
  <c r="H93" i="2"/>
  <c r="F93" i="2"/>
  <c r="E93" i="2"/>
  <c r="D93" i="2"/>
  <c r="G93" i="2"/>
  <c r="O86" i="2"/>
  <c r="N86" i="2"/>
  <c r="M86" i="2"/>
  <c r="L86" i="2"/>
  <c r="K86" i="2"/>
  <c r="J86" i="2"/>
  <c r="I86" i="2"/>
  <c r="H86" i="2"/>
  <c r="F86" i="2"/>
  <c r="E86" i="2"/>
  <c r="D86" i="2"/>
  <c r="G86" i="2"/>
  <c r="C70" i="2"/>
  <c r="C69" i="2"/>
  <c r="O67" i="2"/>
  <c r="N67" i="2"/>
  <c r="M67" i="2"/>
  <c r="L67" i="2"/>
  <c r="K67" i="2"/>
  <c r="J67" i="2"/>
  <c r="I67" i="2"/>
  <c r="H67" i="2"/>
  <c r="F67" i="2"/>
  <c r="E67" i="2"/>
  <c r="D67" i="2"/>
  <c r="G67" i="2"/>
  <c r="O59" i="2"/>
  <c r="N59" i="2"/>
  <c r="M59" i="2"/>
  <c r="L59" i="2"/>
  <c r="K59" i="2"/>
  <c r="J59" i="2"/>
  <c r="I59" i="2"/>
  <c r="H59" i="2"/>
  <c r="F59" i="2"/>
  <c r="E59" i="2"/>
  <c r="D59" i="2"/>
  <c r="G59" i="2"/>
  <c r="O52" i="2"/>
  <c r="N52" i="2"/>
  <c r="M52" i="2"/>
  <c r="L52" i="2"/>
  <c r="K52" i="2"/>
  <c r="J52" i="2"/>
  <c r="I52" i="2"/>
  <c r="H52" i="2"/>
  <c r="F52" i="2"/>
  <c r="E52" i="2"/>
  <c r="D52" i="2"/>
  <c r="G52" i="2"/>
  <c r="G23" i="2"/>
  <c r="G34" i="2" s="1"/>
  <c r="G16" i="2"/>
  <c r="G33" i="2" s="1"/>
  <c r="E23" i="2"/>
  <c r="E34" i="2" s="1"/>
  <c r="F23" i="2"/>
  <c r="F34" i="2" s="1"/>
  <c r="H23" i="2"/>
  <c r="H34" i="2" s="1"/>
  <c r="I23" i="2"/>
  <c r="I34" i="2" s="1"/>
  <c r="J23" i="2"/>
  <c r="J34" i="2" s="1"/>
  <c r="K23" i="2"/>
  <c r="K34" i="2" s="1"/>
  <c r="L23" i="2"/>
  <c r="L34" i="2" s="1"/>
  <c r="M23" i="2"/>
  <c r="M34" i="2" s="1"/>
  <c r="N23" i="2"/>
  <c r="N34" i="2" s="1"/>
  <c r="O23" i="2"/>
  <c r="O34" i="2" s="1"/>
  <c r="E16" i="2"/>
  <c r="E33" i="2" s="1"/>
  <c r="F16" i="2"/>
  <c r="F33" i="2" s="1"/>
  <c r="H16" i="2"/>
  <c r="H33" i="2" s="1"/>
  <c r="I16" i="2"/>
  <c r="I33" i="2" s="1"/>
  <c r="J16" i="2"/>
  <c r="J33" i="2" s="1"/>
  <c r="K16" i="2"/>
  <c r="K33" i="2" s="1"/>
  <c r="L16" i="2"/>
  <c r="L33" i="2" s="1"/>
  <c r="M16" i="2"/>
  <c r="M33" i="2" s="1"/>
  <c r="N16" i="2"/>
  <c r="N33" i="2" s="1"/>
  <c r="O16" i="2"/>
  <c r="O33" i="2" s="1"/>
  <c r="D23" i="2"/>
  <c r="D34" i="2" s="1"/>
  <c r="D16" i="2"/>
  <c r="D33" i="2" s="1"/>
  <c r="E409" i="2" l="1"/>
  <c r="K306" i="2"/>
  <c r="J306" i="2"/>
  <c r="D238" i="2"/>
  <c r="D204" i="2"/>
  <c r="J171" i="2"/>
  <c r="F171" i="2"/>
  <c r="F306" i="2"/>
  <c r="F103" i="2"/>
  <c r="E103" i="2"/>
  <c r="J103" i="2"/>
  <c r="N103" i="2"/>
  <c r="H171" i="2"/>
  <c r="M69" i="2"/>
  <c r="D69" i="2"/>
  <c r="N238" i="2"/>
  <c r="H103" i="2"/>
  <c r="M171" i="2"/>
  <c r="M273" i="2"/>
  <c r="O137" i="2"/>
  <c r="F238" i="2"/>
  <c r="N375" i="2"/>
  <c r="I306" i="2"/>
  <c r="J70" i="2"/>
  <c r="L104" i="2"/>
  <c r="F138" i="2"/>
  <c r="L342" i="2"/>
  <c r="K70" i="2"/>
  <c r="D104" i="2"/>
  <c r="M104" i="2"/>
  <c r="E239" i="2"/>
  <c r="J307" i="2"/>
  <c r="D342" i="2"/>
  <c r="M342" i="2"/>
  <c r="F376" i="2"/>
  <c r="O376" i="2"/>
  <c r="G69" i="2"/>
  <c r="N408" i="2"/>
  <c r="D408" i="2"/>
  <c r="F408" i="2"/>
  <c r="F239" i="2"/>
  <c r="L238" i="2"/>
  <c r="N376" i="2"/>
  <c r="L376" i="2"/>
  <c r="L171" i="2"/>
  <c r="K307" i="2"/>
  <c r="M375" i="2"/>
  <c r="L375" i="2"/>
  <c r="E138" i="2"/>
  <c r="N138" i="2"/>
  <c r="H172" i="2"/>
  <c r="L239" i="2"/>
  <c r="E274" i="2"/>
  <c r="N274" i="2"/>
  <c r="H307" i="2"/>
  <c r="L341" i="2"/>
  <c r="E306" i="2"/>
  <c r="N341" i="2"/>
  <c r="N273" i="2"/>
  <c r="L273" i="2"/>
  <c r="K273" i="2"/>
  <c r="I273" i="2"/>
  <c r="I274" i="2"/>
  <c r="D273" i="2"/>
  <c r="E273" i="2"/>
  <c r="O138" i="2"/>
  <c r="D239" i="2"/>
  <c r="E376" i="2"/>
  <c r="F204" i="2"/>
  <c r="D375" i="2"/>
  <c r="M103" i="2"/>
  <c r="E375" i="2"/>
  <c r="O238" i="2"/>
  <c r="O239" i="2"/>
  <c r="M239" i="2"/>
  <c r="G238" i="2"/>
  <c r="M238" i="2"/>
  <c r="D70" i="2"/>
  <c r="J205" i="2"/>
  <c r="D205" i="2"/>
  <c r="M204" i="2"/>
  <c r="L204" i="2"/>
  <c r="M205" i="2"/>
  <c r="J204" i="2"/>
  <c r="I204" i="2"/>
  <c r="M70" i="2"/>
  <c r="F104" i="2"/>
  <c r="J138" i="2"/>
  <c r="E204" i="2"/>
  <c r="H274" i="2"/>
  <c r="E238" i="2"/>
  <c r="F409" i="2"/>
  <c r="F137" i="2"/>
  <c r="K171" i="2"/>
  <c r="K172" i="2"/>
  <c r="N137" i="2"/>
  <c r="M137" i="2"/>
  <c r="I137" i="2"/>
  <c r="I138" i="2"/>
  <c r="H137" i="2"/>
  <c r="D137" i="2"/>
  <c r="G138" i="2"/>
  <c r="F274" i="2"/>
  <c r="F273" i="2"/>
  <c r="D138" i="2"/>
  <c r="O104" i="2"/>
  <c r="O103" i="2"/>
  <c r="L103" i="2"/>
  <c r="K103" i="2"/>
  <c r="I103" i="2"/>
  <c r="D103" i="2"/>
  <c r="K69" i="2"/>
  <c r="F69" i="2"/>
  <c r="G70" i="2"/>
  <c r="O69" i="2"/>
  <c r="L69" i="2"/>
  <c r="J69" i="2"/>
  <c r="I69" i="2"/>
  <c r="O408" i="2"/>
  <c r="I172" i="2"/>
  <c r="I307" i="2"/>
  <c r="O274" i="2"/>
  <c r="K205" i="2"/>
  <c r="D306" i="2"/>
  <c r="J238" i="2"/>
  <c r="I171" i="2"/>
  <c r="J375" i="2"/>
  <c r="I375" i="2"/>
  <c r="L306" i="2"/>
  <c r="M306" i="2"/>
  <c r="N306" i="2"/>
  <c r="H238" i="2"/>
  <c r="I238" i="2"/>
  <c r="E171" i="2"/>
  <c r="D171" i="2"/>
  <c r="O171" i="2"/>
  <c r="N171" i="2"/>
  <c r="H341" i="2"/>
  <c r="H138" i="2"/>
  <c r="N239" i="2"/>
  <c r="L70" i="2"/>
  <c r="N104" i="2"/>
  <c r="E104" i="2"/>
  <c r="L205" i="2"/>
  <c r="J273" i="2"/>
  <c r="J408" i="2"/>
  <c r="J137" i="2"/>
  <c r="N204" i="2"/>
  <c r="E69" i="2"/>
  <c r="N69" i="2"/>
  <c r="H69" i="2"/>
  <c r="N70" i="2"/>
  <c r="H104" i="2"/>
  <c r="L172" i="2"/>
  <c r="E205" i="2"/>
  <c r="N205" i="2"/>
  <c r="H239" i="2"/>
  <c r="L307" i="2"/>
  <c r="E342" i="2"/>
  <c r="E70" i="2"/>
  <c r="F70" i="2"/>
  <c r="O70" i="2"/>
  <c r="I104" i="2"/>
  <c r="K138" i="2"/>
  <c r="D172" i="2"/>
  <c r="F205" i="2"/>
  <c r="O205" i="2"/>
  <c r="I239" i="2"/>
  <c r="K274" i="2"/>
  <c r="D307" i="2"/>
  <c r="M307" i="2"/>
  <c r="F342" i="2"/>
  <c r="O342" i="2"/>
  <c r="J104" i="2"/>
  <c r="L138" i="2"/>
  <c r="E172" i="2"/>
  <c r="N172" i="2"/>
  <c r="J239" i="2"/>
  <c r="G274" i="2"/>
  <c r="L274" i="2"/>
  <c r="E307" i="2"/>
  <c r="N307" i="2"/>
  <c r="H342" i="2"/>
  <c r="J376" i="2"/>
  <c r="H70" i="2"/>
  <c r="C419" i="2"/>
  <c r="C425" i="2" s="1"/>
  <c r="L416" i="2"/>
  <c r="L422" i="2" s="1"/>
  <c r="N417" i="2"/>
  <c r="N423" i="2" s="1"/>
  <c r="E417" i="2"/>
  <c r="E423" i="2" s="1"/>
  <c r="K342" i="2"/>
  <c r="L408" i="2"/>
  <c r="J172" i="2"/>
  <c r="H416" i="2"/>
  <c r="H422" i="2" s="1"/>
  <c r="J417" i="2"/>
  <c r="J423" i="2" s="1"/>
  <c r="J274" i="2"/>
  <c r="H376" i="2"/>
  <c r="K341" i="2"/>
  <c r="M172" i="2"/>
  <c r="H205" i="2"/>
  <c r="I70" i="2"/>
  <c r="K104" i="2"/>
  <c r="M138" i="2"/>
  <c r="F172" i="2"/>
  <c r="O172" i="2"/>
  <c r="I205" i="2"/>
  <c r="K239" i="2"/>
  <c r="D274" i="2"/>
  <c r="M274" i="2"/>
  <c r="F307" i="2"/>
  <c r="O307" i="2"/>
  <c r="I342" i="2"/>
  <c r="K376" i="2"/>
  <c r="M409" i="2"/>
  <c r="J342" i="2"/>
  <c r="D376" i="2"/>
  <c r="M376" i="2"/>
  <c r="O409" i="2"/>
  <c r="N342" i="2"/>
  <c r="I376" i="2"/>
  <c r="J409" i="2"/>
  <c r="I417" i="2"/>
  <c r="I423" i="2" s="1"/>
  <c r="L137" i="2"/>
  <c r="I416" i="2"/>
  <c r="I422" i="2" s="1"/>
  <c r="O417" i="2"/>
  <c r="O423" i="2" s="1"/>
  <c r="F417" i="2"/>
  <c r="F423" i="2" s="1"/>
  <c r="E137" i="2"/>
  <c r="H273" i="2"/>
  <c r="O306" i="2"/>
  <c r="F418" i="2"/>
  <c r="F424" i="2" s="1"/>
  <c r="K204" i="2"/>
  <c r="K238" i="2"/>
  <c r="H306" i="2"/>
  <c r="H418" i="2"/>
  <c r="H424" i="2" s="1"/>
  <c r="C420" i="2"/>
  <c r="C426" i="2" s="1"/>
  <c r="M417" i="2"/>
  <c r="M423" i="2" s="1"/>
  <c r="O416" i="2"/>
  <c r="O422" i="2" s="1"/>
  <c r="D416" i="2"/>
  <c r="D422" i="2" s="1"/>
  <c r="N416" i="2"/>
  <c r="N422" i="2" s="1"/>
  <c r="E416" i="2"/>
  <c r="E422" i="2" s="1"/>
  <c r="L417" i="2"/>
  <c r="L423" i="2" s="1"/>
  <c r="J418" i="2"/>
  <c r="J424" i="2" s="1"/>
  <c r="F416" i="2"/>
  <c r="F422" i="2" s="1"/>
  <c r="D417" i="2"/>
  <c r="D423" i="2" s="1"/>
  <c r="M416" i="2"/>
  <c r="M422" i="2" s="1"/>
  <c r="K417" i="2"/>
  <c r="K423" i="2" s="1"/>
  <c r="K418" i="2"/>
  <c r="K424" i="2" s="1"/>
  <c r="O204" i="2"/>
  <c r="L418" i="2"/>
  <c r="L424" i="2" s="1"/>
  <c r="O418" i="2"/>
  <c r="O424" i="2" s="1"/>
  <c r="O375" i="2"/>
  <c r="D418" i="2"/>
  <c r="D424" i="2" s="1"/>
  <c r="M418" i="2"/>
  <c r="M424" i="2" s="1"/>
  <c r="K416" i="2"/>
  <c r="K422" i="2" s="1"/>
  <c r="H204" i="2"/>
  <c r="J416" i="2"/>
  <c r="J422" i="2" s="1"/>
  <c r="H417" i="2"/>
  <c r="H423" i="2" s="1"/>
  <c r="O273" i="2"/>
  <c r="H375" i="2"/>
  <c r="E418" i="2"/>
  <c r="E424" i="2" s="1"/>
  <c r="N418" i="2"/>
  <c r="N424" i="2" s="1"/>
  <c r="I409" i="2"/>
  <c r="H408" i="2"/>
  <c r="H409" i="2"/>
  <c r="E408" i="2"/>
  <c r="M408" i="2"/>
  <c r="D409" i="2"/>
  <c r="K408" i="2"/>
  <c r="I408" i="2"/>
  <c r="I418" i="2"/>
  <c r="I424" i="2" s="1"/>
  <c r="L409" i="2"/>
  <c r="K409" i="2"/>
  <c r="N409" i="2"/>
  <c r="G409" i="2"/>
  <c r="G408" i="2"/>
  <c r="G273" i="2"/>
  <c r="G239" i="2"/>
  <c r="G137" i="2"/>
  <c r="G418" i="2"/>
  <c r="G424" i="2" s="1"/>
  <c r="G417" i="2"/>
  <c r="G423" i="2" s="1"/>
  <c r="G416" i="2"/>
  <c r="G422" i="2" s="1"/>
  <c r="G376" i="2"/>
  <c r="G375" i="2"/>
  <c r="G342" i="2"/>
  <c r="G341" i="2"/>
  <c r="G307" i="2"/>
  <c r="G306" i="2"/>
  <c r="G205" i="2"/>
  <c r="G204" i="2"/>
  <c r="G172" i="2"/>
  <c r="G171" i="2"/>
  <c r="G104" i="2"/>
  <c r="G103" i="2"/>
  <c r="F419" i="2" l="1"/>
  <c r="F425" i="2" s="1"/>
  <c r="M419" i="2"/>
  <c r="M425" i="2" s="1"/>
  <c r="D419" i="2"/>
  <c r="D425" i="2" s="1"/>
  <c r="I419" i="2"/>
  <c r="I425" i="2" s="1"/>
  <c r="J419" i="2"/>
  <c r="J425" i="2" s="1"/>
  <c r="N419" i="2"/>
  <c r="N425" i="2" s="1"/>
  <c r="M420" i="2"/>
  <c r="M426" i="2" s="1"/>
  <c r="J420" i="2"/>
  <c r="J426" i="2" s="1"/>
  <c r="L420" i="2"/>
  <c r="L426" i="2" s="1"/>
  <c r="L419" i="2"/>
  <c r="L425" i="2" s="1"/>
  <c r="H420" i="2"/>
  <c r="H426" i="2" s="1"/>
  <c r="E420" i="2"/>
  <c r="E426" i="2" s="1"/>
  <c r="D420" i="2"/>
  <c r="D426" i="2" s="1"/>
  <c r="F420" i="2"/>
  <c r="F426" i="2" s="1"/>
  <c r="H419" i="2"/>
  <c r="H425" i="2" s="1"/>
  <c r="K419" i="2"/>
  <c r="K425" i="2" s="1"/>
  <c r="K420" i="2"/>
  <c r="K426" i="2" s="1"/>
  <c r="O420" i="2"/>
  <c r="O426" i="2" s="1"/>
  <c r="E419" i="2"/>
  <c r="E425" i="2" s="1"/>
  <c r="I420" i="2"/>
  <c r="I426" i="2" s="1"/>
  <c r="O419" i="2"/>
  <c r="O425" i="2" s="1"/>
  <c r="N420" i="2"/>
  <c r="N426" i="2" s="1"/>
  <c r="G420" i="2"/>
  <c r="G426" i="2" s="1"/>
  <c r="G419" i="2"/>
  <c r="G425" i="2" s="1"/>
  <c r="C305" i="1"/>
  <c r="C310" i="1" l="1"/>
  <c r="O294" i="1"/>
  <c r="N294" i="1"/>
  <c r="M294" i="1"/>
  <c r="L294" i="1"/>
  <c r="K294" i="1"/>
  <c r="J294" i="1"/>
  <c r="I294" i="1"/>
  <c r="H294" i="1"/>
  <c r="F294" i="1"/>
  <c r="E294" i="1"/>
  <c r="D294" i="1"/>
  <c r="O290" i="1"/>
  <c r="N290" i="1"/>
  <c r="M290" i="1"/>
  <c r="L290" i="1"/>
  <c r="K290" i="1"/>
  <c r="J290" i="1"/>
  <c r="I290" i="1"/>
  <c r="H290" i="1"/>
  <c r="F290" i="1"/>
  <c r="E290" i="1"/>
  <c r="D290" i="1"/>
  <c r="O281" i="1"/>
  <c r="N281" i="1"/>
  <c r="M281" i="1"/>
  <c r="L281" i="1"/>
  <c r="K281" i="1"/>
  <c r="J281" i="1"/>
  <c r="I281" i="1"/>
  <c r="H281" i="1"/>
  <c r="F281" i="1"/>
  <c r="E281" i="1"/>
  <c r="D281" i="1"/>
  <c r="C265" i="1"/>
  <c r="O263" i="1"/>
  <c r="N263" i="1"/>
  <c r="M263" i="1"/>
  <c r="L263" i="1"/>
  <c r="K263" i="1"/>
  <c r="J263" i="1"/>
  <c r="I263" i="1"/>
  <c r="H263" i="1"/>
  <c r="F263" i="1"/>
  <c r="E263" i="1"/>
  <c r="D263" i="1"/>
  <c r="O259" i="1"/>
  <c r="N259" i="1"/>
  <c r="M259" i="1"/>
  <c r="L259" i="1"/>
  <c r="K259" i="1"/>
  <c r="J259" i="1"/>
  <c r="I259" i="1"/>
  <c r="H259" i="1"/>
  <c r="F259" i="1"/>
  <c r="E259" i="1"/>
  <c r="D259" i="1"/>
  <c r="O251" i="1"/>
  <c r="N251" i="1"/>
  <c r="M251" i="1"/>
  <c r="L251" i="1"/>
  <c r="K251" i="1"/>
  <c r="J251" i="1"/>
  <c r="I251" i="1"/>
  <c r="H251" i="1"/>
  <c r="F251" i="1"/>
  <c r="E251" i="1"/>
  <c r="D251" i="1"/>
  <c r="G251" i="1"/>
  <c r="C236" i="1"/>
  <c r="O234" i="1"/>
  <c r="N234" i="1"/>
  <c r="M234" i="1"/>
  <c r="L234" i="1"/>
  <c r="K234" i="1"/>
  <c r="J234" i="1"/>
  <c r="I234" i="1"/>
  <c r="H234" i="1"/>
  <c r="F234" i="1"/>
  <c r="E234" i="1"/>
  <c r="D234" i="1"/>
  <c r="O229" i="1"/>
  <c r="N229" i="1"/>
  <c r="M229" i="1"/>
  <c r="L229" i="1"/>
  <c r="K229" i="1"/>
  <c r="J229" i="1"/>
  <c r="I229" i="1"/>
  <c r="H229" i="1"/>
  <c r="F229" i="1"/>
  <c r="E229" i="1"/>
  <c r="D229" i="1"/>
  <c r="O221" i="1"/>
  <c r="N221" i="1"/>
  <c r="M221" i="1"/>
  <c r="L221" i="1"/>
  <c r="K221" i="1"/>
  <c r="J221" i="1"/>
  <c r="I221" i="1"/>
  <c r="H221" i="1"/>
  <c r="E221" i="1"/>
  <c r="D221" i="1"/>
  <c r="C205" i="1"/>
  <c r="O203" i="1"/>
  <c r="N203" i="1"/>
  <c r="M203" i="1"/>
  <c r="L203" i="1"/>
  <c r="K203" i="1"/>
  <c r="J203" i="1"/>
  <c r="I203" i="1"/>
  <c r="H203" i="1"/>
  <c r="F203" i="1"/>
  <c r="E203" i="1"/>
  <c r="D203" i="1"/>
  <c r="O199" i="1"/>
  <c r="N199" i="1"/>
  <c r="M199" i="1"/>
  <c r="L199" i="1"/>
  <c r="K199" i="1"/>
  <c r="J199" i="1"/>
  <c r="I199" i="1"/>
  <c r="H199" i="1"/>
  <c r="F199" i="1"/>
  <c r="E199" i="1"/>
  <c r="D199" i="1"/>
  <c r="O191" i="1"/>
  <c r="N191" i="1"/>
  <c r="M191" i="1"/>
  <c r="L191" i="1"/>
  <c r="K191" i="1"/>
  <c r="J191" i="1"/>
  <c r="I191" i="1"/>
  <c r="H191" i="1"/>
  <c r="F191" i="1"/>
  <c r="E191" i="1"/>
  <c r="D191" i="1"/>
  <c r="C176" i="1"/>
  <c r="O174" i="1"/>
  <c r="N174" i="1"/>
  <c r="M174" i="1"/>
  <c r="L174" i="1"/>
  <c r="K174" i="1"/>
  <c r="J174" i="1"/>
  <c r="I174" i="1"/>
  <c r="H174" i="1"/>
  <c r="F174" i="1"/>
  <c r="E174" i="1"/>
  <c r="D174" i="1"/>
  <c r="G174" i="1"/>
  <c r="O170" i="1"/>
  <c r="N170" i="1"/>
  <c r="M170" i="1"/>
  <c r="L170" i="1"/>
  <c r="K170" i="1"/>
  <c r="J170" i="1"/>
  <c r="I170" i="1"/>
  <c r="H170" i="1"/>
  <c r="F170" i="1"/>
  <c r="E170" i="1"/>
  <c r="D170" i="1"/>
  <c r="O162" i="1"/>
  <c r="N162" i="1"/>
  <c r="M162" i="1"/>
  <c r="L162" i="1"/>
  <c r="K162" i="1"/>
  <c r="J162" i="1"/>
  <c r="I162" i="1"/>
  <c r="H162" i="1"/>
  <c r="F162" i="1"/>
  <c r="E162" i="1"/>
  <c r="D162" i="1"/>
  <c r="C147" i="1"/>
  <c r="O145" i="1"/>
  <c r="N145" i="1"/>
  <c r="M145" i="1"/>
  <c r="L145" i="1"/>
  <c r="K145" i="1"/>
  <c r="J145" i="1"/>
  <c r="I145" i="1"/>
  <c r="H145" i="1"/>
  <c r="F145" i="1"/>
  <c r="E145" i="1"/>
  <c r="D145" i="1"/>
  <c r="O141" i="1"/>
  <c r="N141" i="1"/>
  <c r="M141" i="1"/>
  <c r="L141" i="1"/>
  <c r="K141" i="1"/>
  <c r="J141" i="1"/>
  <c r="I141" i="1"/>
  <c r="H141" i="1"/>
  <c r="F141" i="1"/>
  <c r="E141" i="1"/>
  <c r="D141" i="1"/>
  <c r="O133" i="1"/>
  <c r="N133" i="1"/>
  <c r="M133" i="1"/>
  <c r="L133" i="1"/>
  <c r="K133" i="1"/>
  <c r="J133" i="1"/>
  <c r="I133" i="1"/>
  <c r="H133" i="1"/>
  <c r="F133" i="1"/>
  <c r="E133" i="1"/>
  <c r="D133" i="1"/>
  <c r="F111" i="1"/>
  <c r="O115" i="1"/>
  <c r="N115" i="1"/>
  <c r="M115" i="1"/>
  <c r="L115" i="1"/>
  <c r="K115" i="1"/>
  <c r="J115" i="1"/>
  <c r="I115" i="1"/>
  <c r="H115" i="1"/>
  <c r="F115" i="1"/>
  <c r="E115" i="1"/>
  <c r="D115" i="1"/>
  <c r="O111" i="1"/>
  <c r="N111" i="1"/>
  <c r="M111" i="1"/>
  <c r="L111" i="1"/>
  <c r="K111" i="1"/>
  <c r="J111" i="1"/>
  <c r="I111" i="1"/>
  <c r="H111" i="1"/>
  <c r="E111" i="1"/>
  <c r="O103" i="1"/>
  <c r="N103" i="1"/>
  <c r="M103" i="1"/>
  <c r="L103" i="1"/>
  <c r="K103" i="1"/>
  <c r="J103" i="1"/>
  <c r="I103" i="1"/>
  <c r="H103" i="1"/>
  <c r="F103" i="1"/>
  <c r="E103" i="1"/>
  <c r="D103" i="1"/>
  <c r="D117" i="1" l="1"/>
  <c r="K236" i="1"/>
  <c r="J117" i="1"/>
  <c r="J205" i="1"/>
  <c r="K265" i="1"/>
  <c r="F117" i="1"/>
  <c r="N236" i="1"/>
  <c r="M296" i="1"/>
  <c r="H265" i="1"/>
  <c r="O265" i="1"/>
  <c r="F176" i="1"/>
  <c r="M205" i="1"/>
  <c r="N147" i="1"/>
  <c r="J147" i="1"/>
  <c r="M236" i="1"/>
  <c r="E296" i="1"/>
  <c r="E265" i="1"/>
  <c r="M265" i="1"/>
  <c r="D147" i="1"/>
  <c r="G145" i="1"/>
  <c r="K147" i="1"/>
  <c r="F236" i="1"/>
  <c r="N265" i="1"/>
  <c r="F296" i="1"/>
  <c r="N296" i="1"/>
  <c r="M117" i="1"/>
  <c r="G170" i="1"/>
  <c r="G203" i="1"/>
  <c r="I265" i="1"/>
  <c r="M147" i="1"/>
  <c r="L176" i="1"/>
  <c r="J236" i="1"/>
  <c r="J265" i="1"/>
  <c r="J296" i="1"/>
  <c r="F147" i="1"/>
  <c r="E176" i="1"/>
  <c r="M176" i="1"/>
  <c r="D236" i="1"/>
  <c r="G234" i="1"/>
  <c r="D265" i="1"/>
  <c r="G263" i="1"/>
  <c r="D296" i="1"/>
  <c r="G294" i="1"/>
  <c r="N176" i="1"/>
  <c r="E205" i="1"/>
  <c r="G191" i="1"/>
  <c r="F205" i="1"/>
  <c r="N117" i="1"/>
  <c r="L117" i="1"/>
  <c r="I147" i="1"/>
  <c r="J176" i="1"/>
  <c r="G199" i="1"/>
  <c r="I236" i="1"/>
  <c r="G281" i="1"/>
  <c r="L296" i="1"/>
  <c r="E117" i="1"/>
  <c r="G111" i="1"/>
  <c r="G141" i="1"/>
  <c r="D176" i="1"/>
  <c r="H205" i="1"/>
  <c r="O205" i="1"/>
  <c r="G229" i="1"/>
  <c r="G103" i="1"/>
  <c r="H117" i="1"/>
  <c r="O117" i="1"/>
  <c r="H176" i="1"/>
  <c r="O176" i="1"/>
  <c r="K205" i="1"/>
  <c r="I205" i="1"/>
  <c r="G259" i="1"/>
  <c r="K296" i="1"/>
  <c r="H296" i="1"/>
  <c r="O296" i="1"/>
  <c r="K117" i="1"/>
  <c r="I117" i="1"/>
  <c r="G133" i="1"/>
  <c r="E147" i="1"/>
  <c r="L147" i="1"/>
  <c r="G162" i="1"/>
  <c r="G221" i="1"/>
  <c r="E236" i="1"/>
  <c r="L236" i="1"/>
  <c r="L265" i="1"/>
  <c r="I296" i="1"/>
  <c r="G115" i="1"/>
  <c r="F265" i="1"/>
  <c r="H147" i="1"/>
  <c r="O147" i="1"/>
  <c r="K176" i="1"/>
  <c r="I176" i="1"/>
  <c r="N205" i="1"/>
  <c r="D205" i="1"/>
  <c r="L205" i="1"/>
  <c r="H236" i="1"/>
  <c r="O236" i="1"/>
  <c r="C88" i="1"/>
  <c r="O86" i="1"/>
  <c r="N86" i="1"/>
  <c r="M86" i="1"/>
  <c r="L86" i="1"/>
  <c r="K86" i="1"/>
  <c r="J86" i="1"/>
  <c r="I86" i="1"/>
  <c r="H86" i="1"/>
  <c r="G86" i="1"/>
  <c r="F86" i="1"/>
  <c r="E86" i="1"/>
  <c r="O81" i="1"/>
  <c r="N81" i="1"/>
  <c r="M81" i="1"/>
  <c r="L81" i="1"/>
  <c r="K81" i="1"/>
  <c r="J81" i="1"/>
  <c r="I81" i="1"/>
  <c r="H81" i="1"/>
  <c r="F81" i="1"/>
  <c r="E81" i="1"/>
  <c r="D81" i="1"/>
  <c r="O73" i="1"/>
  <c r="N73" i="1"/>
  <c r="M73" i="1"/>
  <c r="L73" i="1"/>
  <c r="K73" i="1"/>
  <c r="J73" i="1"/>
  <c r="I73" i="1"/>
  <c r="H73" i="1"/>
  <c r="F73" i="1"/>
  <c r="E73" i="1"/>
  <c r="D73" i="1"/>
  <c r="C57" i="1"/>
  <c r="D41" i="1"/>
  <c r="O55" i="1"/>
  <c r="N55" i="1"/>
  <c r="M55" i="1"/>
  <c r="L55" i="1"/>
  <c r="K55" i="1"/>
  <c r="J55" i="1"/>
  <c r="I55" i="1"/>
  <c r="H55" i="1"/>
  <c r="F55" i="1"/>
  <c r="E55" i="1"/>
  <c r="D55" i="1"/>
  <c r="G55" i="1"/>
  <c r="O50" i="1"/>
  <c r="N50" i="1"/>
  <c r="M50" i="1"/>
  <c r="L50" i="1"/>
  <c r="K50" i="1"/>
  <c r="J50" i="1"/>
  <c r="I50" i="1"/>
  <c r="H50" i="1"/>
  <c r="F50" i="1"/>
  <c r="E50" i="1"/>
  <c r="D50" i="1"/>
  <c r="O41" i="1"/>
  <c r="N41" i="1"/>
  <c r="M41" i="1"/>
  <c r="L41" i="1"/>
  <c r="K41" i="1"/>
  <c r="J41" i="1"/>
  <c r="I41" i="1"/>
  <c r="H41" i="1"/>
  <c r="F41" i="1"/>
  <c r="E41" i="1"/>
  <c r="G41" i="1"/>
  <c r="E24" i="1"/>
  <c r="F24" i="1"/>
  <c r="H24" i="1"/>
  <c r="I24" i="1"/>
  <c r="J24" i="1"/>
  <c r="K24" i="1"/>
  <c r="L24" i="1"/>
  <c r="M24" i="1"/>
  <c r="N24" i="1"/>
  <c r="O24" i="1"/>
  <c r="D24" i="1"/>
  <c r="H20" i="1"/>
  <c r="I20" i="1"/>
  <c r="J20" i="1"/>
  <c r="K20" i="1"/>
  <c r="L20" i="1"/>
  <c r="M20" i="1"/>
  <c r="N20" i="1"/>
  <c r="O20" i="1"/>
  <c r="E20" i="1"/>
  <c r="F20" i="1"/>
  <c r="D20" i="1"/>
  <c r="H12" i="1"/>
  <c r="I12" i="1"/>
  <c r="J12" i="1"/>
  <c r="K12" i="1"/>
  <c r="L12" i="1"/>
  <c r="M12" i="1"/>
  <c r="N12" i="1"/>
  <c r="O12" i="1"/>
  <c r="I88" i="1" l="1"/>
  <c r="G296" i="1"/>
  <c r="J305" i="1"/>
  <c r="J310" i="1" s="1"/>
  <c r="M304" i="1"/>
  <c r="M309" i="1" s="1"/>
  <c r="L304" i="1"/>
  <c r="L309" i="1" s="1"/>
  <c r="O306" i="1"/>
  <c r="O311" i="1" s="1"/>
  <c r="M305" i="1"/>
  <c r="M310" i="1" s="1"/>
  <c r="F305" i="1"/>
  <c r="F310" i="1" s="1"/>
  <c r="J304" i="1"/>
  <c r="J309" i="1" s="1"/>
  <c r="E305" i="1"/>
  <c r="E310" i="1" s="1"/>
  <c r="M57" i="1"/>
  <c r="H306" i="1"/>
  <c r="H311" i="1" s="1"/>
  <c r="F88" i="1"/>
  <c r="M88" i="1"/>
  <c r="K304" i="1"/>
  <c r="K309" i="1" s="1"/>
  <c r="F306" i="1"/>
  <c r="F311" i="1" s="1"/>
  <c r="J57" i="1"/>
  <c r="N88" i="1"/>
  <c r="I305" i="1"/>
  <c r="I310" i="1" s="1"/>
  <c r="O305" i="1"/>
  <c r="O310" i="1" s="1"/>
  <c r="N304" i="1"/>
  <c r="N309" i="1" s="1"/>
  <c r="D306" i="1"/>
  <c r="D311" i="1" s="1"/>
  <c r="G265" i="1"/>
  <c r="G205" i="1"/>
  <c r="G176" i="1"/>
  <c r="G12" i="1"/>
  <c r="N306" i="1"/>
  <c r="N311" i="1" s="1"/>
  <c r="H88" i="1"/>
  <c r="O88" i="1"/>
  <c r="G117" i="1"/>
  <c r="G236" i="1"/>
  <c r="I304" i="1"/>
  <c r="I309" i="1" s="1"/>
  <c r="H305" i="1"/>
  <c r="H310" i="1" s="1"/>
  <c r="M26" i="1"/>
  <c r="M306" i="1"/>
  <c r="M311" i="1" s="1"/>
  <c r="E306" i="1"/>
  <c r="E311" i="1" s="1"/>
  <c r="O26" i="1"/>
  <c r="O304" i="1"/>
  <c r="O309" i="1" s="1"/>
  <c r="H26" i="1"/>
  <c r="H304" i="1"/>
  <c r="H309" i="1" s="1"/>
  <c r="N26" i="1"/>
  <c r="N305" i="1"/>
  <c r="N310" i="1" s="1"/>
  <c r="L26" i="1"/>
  <c r="L306" i="1"/>
  <c r="L311" i="1" s="1"/>
  <c r="D305" i="1"/>
  <c r="D310" i="1" s="1"/>
  <c r="F57" i="1"/>
  <c r="L88" i="1"/>
  <c r="E88" i="1"/>
  <c r="K88" i="1"/>
  <c r="L305" i="1"/>
  <c r="L310" i="1" s="1"/>
  <c r="K306" i="1"/>
  <c r="K311" i="1" s="1"/>
  <c r="J26" i="1"/>
  <c r="J306" i="1"/>
  <c r="J311" i="1" s="1"/>
  <c r="G20" i="1"/>
  <c r="K26" i="1"/>
  <c r="K305" i="1"/>
  <c r="K310" i="1" s="1"/>
  <c r="I26" i="1"/>
  <c r="I306" i="1"/>
  <c r="I311" i="1" s="1"/>
  <c r="G50" i="1"/>
  <c r="G57" i="1" s="1"/>
  <c r="E57" i="1"/>
  <c r="G73" i="1"/>
  <c r="O57" i="1"/>
  <c r="K57" i="1"/>
  <c r="I57" i="1"/>
  <c r="H57" i="1"/>
  <c r="J88" i="1"/>
  <c r="G81" i="1"/>
  <c r="G147" i="1"/>
  <c r="D88" i="1"/>
  <c r="N57" i="1"/>
  <c r="D57" i="1"/>
  <c r="L57" i="1"/>
  <c r="G24" i="1"/>
  <c r="I307" i="1" l="1"/>
  <c r="I312" i="1" s="1"/>
  <c r="M307" i="1"/>
  <c r="M312" i="1" s="1"/>
  <c r="N307" i="1"/>
  <c r="N312" i="1" s="1"/>
  <c r="G88" i="1"/>
  <c r="G304" i="1"/>
  <c r="G309" i="1" s="1"/>
  <c r="G305" i="1"/>
  <c r="G310" i="1" s="1"/>
  <c r="H307" i="1"/>
  <c r="H312" i="1" s="1"/>
  <c r="K307" i="1"/>
  <c r="K312" i="1" s="1"/>
  <c r="J307" i="1"/>
  <c r="J312" i="1" s="1"/>
  <c r="G26" i="1"/>
  <c r="G306" i="1"/>
  <c r="G311" i="1" s="1"/>
  <c r="O307" i="1"/>
  <c r="O312" i="1" s="1"/>
  <c r="L307" i="1"/>
  <c r="L312" i="1" s="1"/>
  <c r="E12" i="1"/>
  <c r="D12" i="1"/>
  <c r="G307" i="1" l="1"/>
  <c r="G312" i="1" s="1"/>
  <c r="F26" i="1"/>
  <c r="F307" i="1" s="1"/>
  <c r="F312" i="1" s="1"/>
  <c r="F304" i="1"/>
  <c r="F309" i="1" s="1"/>
  <c r="D26" i="1"/>
  <c r="D307" i="1" s="1"/>
  <c r="D312" i="1" s="1"/>
  <c r="D304" i="1"/>
  <c r="D309" i="1" s="1"/>
  <c r="E26" i="1"/>
  <c r="E307" i="1" s="1"/>
  <c r="E312" i="1" s="1"/>
  <c r="E304" i="1"/>
  <c r="E309" i="1" s="1"/>
  <c r="C306" i="1"/>
  <c r="C312" i="1" s="1"/>
  <c r="C311" i="1" l="1"/>
</calcChain>
</file>

<file path=xl/sharedStrings.xml><?xml version="1.0" encoding="utf-8"?>
<sst xmlns="http://schemas.openxmlformats.org/spreadsheetml/2006/main" count="1160" uniqueCount="271">
  <si>
    <t>Нормативный документ</t>
  </si>
  <si>
    <t>Наименование блюд</t>
  </si>
  <si>
    <t>Норма выпуска готового блюда, г</t>
  </si>
  <si>
    <t>Пищевые вещества</t>
  </si>
  <si>
    <t>Энергетическая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</si>
  <si>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</si>
  <si>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</si>
  <si>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</si>
  <si>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</si>
  <si>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</si>
  <si>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В1,мг</t>
  </si>
  <si>
    <t>С, мг</t>
  </si>
  <si>
    <t>Ca, мг</t>
  </si>
  <si>
    <t>Mg, мг</t>
  </si>
  <si>
    <t>P, мг</t>
  </si>
  <si>
    <t>Fe, мг</t>
  </si>
  <si>
    <t>B2,мг</t>
  </si>
  <si>
    <t>А, рет.экв</t>
  </si>
  <si>
    <t>1-й день</t>
  </si>
  <si>
    <t>Завтрак:</t>
  </si>
  <si>
    <t>Итого за прием пищи:</t>
  </si>
  <si>
    <t>Обед:</t>
  </si>
  <si>
    <t>Полдник:</t>
  </si>
  <si>
    <t>Итого за первый день:</t>
  </si>
  <si>
    <t>2-й день</t>
  </si>
  <si>
    <t>3-й день</t>
  </si>
  <si>
    <t>Итого за второй день:</t>
  </si>
  <si>
    <t>Итого за третий день:</t>
  </si>
  <si>
    <t>4-й день</t>
  </si>
  <si>
    <t>5-й день</t>
  </si>
  <si>
    <t>6-й день</t>
  </si>
  <si>
    <t>7-й день</t>
  </si>
  <si>
    <t>8-й день</t>
  </si>
  <si>
    <t>9-й день</t>
  </si>
  <si>
    <t xml:space="preserve">10-й день </t>
  </si>
  <si>
    <t>Среднее число за 10 дней</t>
  </si>
  <si>
    <t>Завтрак</t>
  </si>
  <si>
    <t>Обед</t>
  </si>
  <si>
    <t>Полдник</t>
  </si>
  <si>
    <t>Итого за 10 дней</t>
  </si>
  <si>
    <t>Итого за десятый день:</t>
  </si>
  <si>
    <t>Итого за девятый день:</t>
  </si>
  <si>
    <t>Итого за восьмой день:</t>
  </si>
  <si>
    <t>Итого за седьмой день:</t>
  </si>
  <si>
    <t>Итого за шестой день:</t>
  </si>
  <si>
    <t>Итого за пятый день:</t>
  </si>
  <si>
    <t>Итого за четвертый день:</t>
  </si>
  <si>
    <t>Завтрак 1:</t>
  </si>
  <si>
    <t>Завтрак 2:</t>
  </si>
  <si>
    <t>Итого за первый день с Завтраком 1:</t>
  </si>
  <si>
    <t>Итого за первый день с Завтраком 2:</t>
  </si>
  <si>
    <t>Итого за второй день с Завтраком 1:</t>
  </si>
  <si>
    <t>Итого за второй день с Завтраком 2:</t>
  </si>
  <si>
    <t>Итого за третий день с Завтраком 1:</t>
  </si>
  <si>
    <t>Итого за третий день с Завтраком 2:</t>
  </si>
  <si>
    <t>Итого за четвертый день с Завтраком 1:</t>
  </si>
  <si>
    <t>Итого за четвертый день с Завтраком 2:</t>
  </si>
  <si>
    <t>Итого за пятый день с Завтраком 1:</t>
  </si>
  <si>
    <t>Итого за пятый день с Завтраком 2:</t>
  </si>
  <si>
    <t>Итого за шестой день с Завтраком 1:</t>
  </si>
  <si>
    <t>Итого за шестой день с Завтраком 2:</t>
  </si>
  <si>
    <t>Итого за седьмой день с Завтраком 1:</t>
  </si>
  <si>
    <t>Итого за седьмой день с Завтраком 2:</t>
  </si>
  <si>
    <t>Итого за восьмой день с Завтраком 1:</t>
  </si>
  <si>
    <t>Итого за восьмой день с Завтраком 2:</t>
  </si>
  <si>
    <t>Итого за девятый день с Завтраком 1:</t>
  </si>
  <si>
    <t>Итого за девятый день с Завтраком 2:</t>
  </si>
  <si>
    <t>10-й день</t>
  </si>
  <si>
    <t>11-й день</t>
  </si>
  <si>
    <t>12-й день</t>
  </si>
  <si>
    <t>Итого за десятый день с Завтраком 1:</t>
  </si>
  <si>
    <t>Итого за десятый день с Завтраком 2:</t>
  </si>
  <si>
    <t>Итого за одиннадцатый день с Завтраком 1:</t>
  </si>
  <si>
    <t>Итого за одиннадцатый день с Завтраком 2:</t>
  </si>
  <si>
    <t>Итого за двенадцатый день с Завтраком 1:</t>
  </si>
  <si>
    <t>Итого за двенадцатый день с Завтраком 2:</t>
  </si>
  <si>
    <t>Завтрак 1</t>
  </si>
  <si>
    <t>Завтрак 2</t>
  </si>
  <si>
    <t>Среднее число за 12 дней</t>
  </si>
  <si>
    <t>Итого за 12 дней с Завтраком 1</t>
  </si>
  <si>
    <t>Итого за 12 дней с Завтраком 2</t>
  </si>
  <si>
    <t>Выполнение в % соотношении к выполнению нормы</t>
  </si>
  <si>
    <t>Каша пшенная с маслом</t>
  </si>
  <si>
    <t>Бутерброд с сыром и маслом</t>
  </si>
  <si>
    <t>Чай с сахаром "Школьный"</t>
  </si>
  <si>
    <t>Гематоген "Бегемотик Бонди"</t>
  </si>
  <si>
    <t>Хлеб пшеничный</t>
  </si>
  <si>
    <t>384, 2008</t>
  </si>
  <si>
    <t>42, 2008</t>
  </si>
  <si>
    <t>943, 2008</t>
  </si>
  <si>
    <t>Суп куриный с вермишелью</t>
  </si>
  <si>
    <t>Компот из сухофруктов</t>
  </si>
  <si>
    <t>Хлеб дарницкий</t>
  </si>
  <si>
    <t>Печенье "Сласть"</t>
  </si>
  <si>
    <t>Сок фруктовый</t>
  </si>
  <si>
    <t>868, 2008</t>
  </si>
  <si>
    <t>88, 2008</t>
  </si>
  <si>
    <t>469, 2008</t>
  </si>
  <si>
    <t>Суп из овощей</t>
  </si>
  <si>
    <t>Рыбные шарики с соусом</t>
  </si>
  <si>
    <t>Рис "Солнечный"</t>
  </si>
  <si>
    <t>Компот из вишни</t>
  </si>
  <si>
    <t>Йогурт питьевой</t>
  </si>
  <si>
    <t>202, 2008</t>
  </si>
  <si>
    <t>378, 2008</t>
  </si>
  <si>
    <t>Расп МП КШП №768</t>
  </si>
  <si>
    <t>Расп МП КШП №536</t>
  </si>
  <si>
    <t>Расп МП КШП №398</t>
  </si>
  <si>
    <t>Макароны отварные</t>
  </si>
  <si>
    <t>Компот из свежих фруктов</t>
  </si>
  <si>
    <t>Фрукт свежий</t>
  </si>
  <si>
    <t>Чай с сахаром и лимоном</t>
  </si>
  <si>
    <t>859, 2008</t>
  </si>
  <si>
    <t>413, 2008</t>
  </si>
  <si>
    <t>944, 2008</t>
  </si>
  <si>
    <t>Расп МП КШП №230</t>
  </si>
  <si>
    <t>596, 2008</t>
  </si>
  <si>
    <t>Расп МП КШП №467</t>
  </si>
  <si>
    <t>Каша из овсяных хлопьев с маслом</t>
  </si>
  <si>
    <t>Кекс "Мини"</t>
  </si>
  <si>
    <t>Рис "Мозайка"</t>
  </si>
  <si>
    <t>Компот клубнично-смородиновый</t>
  </si>
  <si>
    <t>Ватрушка с сыром и яйцом</t>
  </si>
  <si>
    <t>Напиток из шиповника с яблоком</t>
  </si>
  <si>
    <t>182, 2008</t>
  </si>
  <si>
    <t>177, 2008</t>
  </si>
  <si>
    <t>Расп МП КШП №603</t>
  </si>
  <si>
    <t>Расп МП КШП №769</t>
  </si>
  <si>
    <t>Рас МП КШП №191</t>
  </si>
  <si>
    <t>Котлетка "Аппетитная"</t>
  </si>
  <si>
    <t>Суп рассольник петербургский с курой</t>
  </si>
  <si>
    <t>Греча отварная</t>
  </si>
  <si>
    <t>Кисломолочный напиток "Снежок"</t>
  </si>
  <si>
    <t>Расп МП КШП №563</t>
  </si>
  <si>
    <t>55, 2008</t>
  </si>
  <si>
    <t>197, 2008</t>
  </si>
  <si>
    <t>299, 2008</t>
  </si>
  <si>
    <t>447, 2007</t>
  </si>
  <si>
    <t>608, 2008</t>
  </si>
  <si>
    <t>Каша рисовая с маслом</t>
  </si>
  <si>
    <t>Какао-напиток с витаминами</t>
  </si>
  <si>
    <t>Щи из свежей капусты с картофелем и курой</t>
  </si>
  <si>
    <t>Напиток из смородины</t>
  </si>
  <si>
    <t>Печенье Сласть</t>
  </si>
  <si>
    <t>416, 2008</t>
  </si>
  <si>
    <t>187, 2008</t>
  </si>
  <si>
    <t>611, 2008</t>
  </si>
  <si>
    <t>Пюре фруктовое</t>
  </si>
  <si>
    <t>Суп деревенский с курой</t>
  </si>
  <si>
    <t>Компот из клубники и черной смородины</t>
  </si>
  <si>
    <t>115, 2007</t>
  </si>
  <si>
    <t>249, 2007</t>
  </si>
  <si>
    <t>Бутерброд "Сладкоежка"</t>
  </si>
  <si>
    <t>Филе птицы в сметане с овощами</t>
  </si>
  <si>
    <t>5, 2007</t>
  </si>
  <si>
    <t>Борщ из свежей капусты с курой</t>
  </si>
  <si>
    <t>Каша "Дружба" с маслом</t>
  </si>
  <si>
    <t>Кекс "Домашний"</t>
  </si>
  <si>
    <t>Ватрушка с повидлом</t>
  </si>
  <si>
    <t>441, 2007</t>
  </si>
  <si>
    <t>Гуляш из филе птицы</t>
  </si>
  <si>
    <t>Суп картофельный с рыбными фрикадельками</t>
  </si>
  <si>
    <t>Расп МП КШП № 67</t>
  </si>
  <si>
    <t>Котлета "Пожарская" с соусом</t>
  </si>
  <si>
    <t>227, 2007</t>
  </si>
  <si>
    <t>170, 2008</t>
  </si>
  <si>
    <t>643, 2008</t>
  </si>
  <si>
    <t>Расп МП КШП №21</t>
  </si>
  <si>
    <t>Фрикасе из филе птицы в сметанном соусе</t>
  </si>
  <si>
    <t>Напиток Чай с шиповником, сахаром</t>
  </si>
  <si>
    <t>Булочка плюшка</t>
  </si>
  <si>
    <t>ТефтельКа с соусом</t>
  </si>
  <si>
    <t>Расп МП КШП №191</t>
  </si>
  <si>
    <t>516, 2008</t>
  </si>
  <si>
    <t>357, 2008</t>
  </si>
  <si>
    <t>639, 2008</t>
  </si>
  <si>
    <t>Кисель витаминизированный</t>
  </si>
  <si>
    <t>Мясо тушеное с огурцами</t>
  </si>
  <si>
    <t>Печенье воздушное ""Снежок"</t>
  </si>
  <si>
    <t>Омлет натуральный</t>
  </si>
  <si>
    <t>Кукуруза консервированная</t>
  </si>
  <si>
    <t>Ватрушка с творогом</t>
  </si>
  <si>
    <t>438, 2008</t>
  </si>
  <si>
    <t>Расп МП КШП №441</t>
  </si>
  <si>
    <t>Шницель из куры с соусом</t>
  </si>
  <si>
    <t>Капуста тушеная</t>
  </si>
  <si>
    <t>Печенье "Талер"</t>
  </si>
  <si>
    <t>Суп картофельный с клецками</t>
  </si>
  <si>
    <t>Плов из филе птицы</t>
  </si>
  <si>
    <t>Каша ячневая с маслом</t>
  </si>
  <si>
    <t>708, 2008</t>
  </si>
  <si>
    <t>213, 2008</t>
  </si>
  <si>
    <t>601, 2008</t>
  </si>
  <si>
    <t>626, 2008</t>
  </si>
  <si>
    <t>Биточки куриные с соусом</t>
  </si>
  <si>
    <t>562, 2008</t>
  </si>
  <si>
    <t>Котлета "Сочная" с соусом</t>
  </si>
  <si>
    <t>Расп МП КШП№973</t>
  </si>
  <si>
    <t>Медальоны куриные с сыром</t>
  </si>
  <si>
    <t>Рис отварной с овощами</t>
  </si>
  <si>
    <t>Каша пшеничная с маслом</t>
  </si>
  <si>
    <t>Суп с крупой гречневой</t>
  </si>
  <si>
    <t>Филе птицы тушеное с овощами</t>
  </si>
  <si>
    <t>649, 2008</t>
  </si>
  <si>
    <t>204, 2008</t>
  </si>
  <si>
    <t>334, 2007</t>
  </si>
  <si>
    <t>Расп МП КШП №607</t>
  </si>
  <si>
    <t xml:space="preserve">Примерный двенадцатидневный цикличный рацион питания учащихся общеобразовательных учреждений с 12 лет и старше </t>
  </si>
  <si>
    <t>Примерный десятидневный рацион питания учащихся общеобразовательных учреждений с 7 до 11 лет</t>
  </si>
  <si>
    <t>В примерное меню с учетом сезоннсти вносятся изменения при условии соблюдения требований к содержанию и соотношению в рационе питания основных пищевых веществ</t>
  </si>
  <si>
    <t>В примерное меню с учетом сезонности вносятся изменения при условии соблюдения требований к содержанию и соотношению в рационе питания основных пищевых веществ</t>
  </si>
  <si>
    <t>01/292</t>
  </si>
  <si>
    <t xml:space="preserve">Рагу из овощей </t>
  </si>
  <si>
    <t xml:space="preserve">Котлета "Школьная" </t>
  </si>
  <si>
    <t>Запеканка творожная со сгущенным молоком</t>
  </si>
  <si>
    <t>Оладьи</t>
  </si>
  <si>
    <t>Повидло</t>
  </si>
  <si>
    <t>Котлета "Киевская" с соусом</t>
  </si>
  <si>
    <t>Греча отварная, овощи свежие</t>
  </si>
  <si>
    <t>Картофельные дольки</t>
  </si>
  <si>
    <t>01/467</t>
  </si>
  <si>
    <t>Блинчик с начинкой</t>
  </si>
  <si>
    <t>Оладьи куриные</t>
  </si>
  <si>
    <t>Свекольник со сметаной</t>
  </si>
  <si>
    <t>Пюре картофельное, огурец консервированный</t>
  </si>
  <si>
    <t>591, 2008</t>
  </si>
  <si>
    <t>Гуляш из свинины</t>
  </si>
  <si>
    <t>Макароны отварные, овощи свежие</t>
  </si>
  <si>
    <t>Напиток клубничный</t>
  </si>
  <si>
    <t>321, 2008</t>
  </si>
  <si>
    <t>Наггесты куриные</t>
  </si>
  <si>
    <t>01/1118</t>
  </si>
  <si>
    <t>01/274</t>
  </si>
  <si>
    <t>Биточки рыбные по-домашнему с соусом</t>
  </si>
  <si>
    <t>Пудинг из творога с молоком сгущенным</t>
  </si>
  <si>
    <t>Батон</t>
  </si>
  <si>
    <t>Макароны отварные с томатом</t>
  </si>
  <si>
    <t xml:space="preserve"> </t>
  </si>
  <si>
    <t>Запеканка картофельная с мясом, с соусом</t>
  </si>
  <si>
    <t>Овощи свежие</t>
  </si>
  <si>
    <t>Рагу из овощей</t>
  </si>
  <si>
    <t>Салат из овощей</t>
  </si>
  <si>
    <t>63, 2008</t>
  </si>
  <si>
    <t>Поджарка из свинины</t>
  </si>
  <si>
    <t>Сандвич песочный</t>
  </si>
  <si>
    <t xml:space="preserve">Овощи свежие </t>
  </si>
  <si>
    <t>26,0,44</t>
  </si>
  <si>
    <t>Мармелад жевательный</t>
  </si>
  <si>
    <t>Суп гороховый с гренками и курой</t>
  </si>
  <si>
    <t>Сыр порциями</t>
  </si>
  <si>
    <t>Теплый клубничный напиток</t>
  </si>
  <si>
    <t>Рис отварной, овощи свежие</t>
  </si>
  <si>
    <t>Картофельные дольки запеченные, овощи свежие</t>
  </si>
  <si>
    <t>Рис "Мозайка", салат из свежих овощей</t>
  </si>
  <si>
    <t>Свинина тушеная</t>
  </si>
  <si>
    <t>Греча отварная, кукуруза консервированная</t>
  </si>
  <si>
    <t>Печенье "Кантри"</t>
  </si>
  <si>
    <t>Салат из свежих овощей</t>
  </si>
  <si>
    <t>Пшено рассыпчатое с овощами</t>
  </si>
  <si>
    <t>Молочный коктейль</t>
  </si>
  <si>
    <t>Котлета "Диетическая" с соусом</t>
  </si>
  <si>
    <t>Жевательный мармелад</t>
  </si>
  <si>
    <t>Макароны, запеченные с сыром и яйцом</t>
  </si>
  <si>
    <t>Печенье "Снежок"</t>
  </si>
  <si>
    <t>Запеканка пшенная с тыквой</t>
  </si>
  <si>
    <t>Соус молочный (сладкий)</t>
  </si>
  <si>
    <t>Выпечное изделие</t>
  </si>
  <si>
    <t>Запеканка рисовая с мясом</t>
  </si>
  <si>
    <t>Мясо тушеное с тыквой</t>
  </si>
  <si>
    <t>Запеканка творожная "Янтарная"со сгущенным молоком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</si>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</sst>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/>
    <xf numFmtId="0" fontId="4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7" fillId="3" borderId="13" xfId="0" applyNumberFormat="1" applyFont="1" applyFill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center"/>
      <protection hidden="1"/>
    </xf>
    <xf numFmtId="0" fontId="8" fillId="0" borderId="10" xfId="0" applyFont="1" applyBorder="1" applyProtection="1">
      <protection hidden="1"/>
    </xf>
    <xf numFmtId="0" fontId="8" fillId="0" borderId="5" xfId="0" applyFont="1" applyBorder="1" applyProtection="1"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21" xfId="0" applyFont="1" applyBorder="1" applyAlignment="1" applyProtection="1">
      <alignment horizontal="center"/>
      <protection hidden="1"/>
    </xf>
    <xf numFmtId="0" fontId="8" fillId="0" borderId="10" xfId="0" applyFont="1" applyFill="1" applyBorder="1" applyProtection="1">
      <protection hidden="1"/>
    </xf>
    <xf numFmtId="0" fontId="8" fillId="0" borderId="5" xfId="0" applyFont="1" applyFill="1" applyBorder="1" applyProtection="1"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21" xfId="0" applyFont="1" applyFill="1" applyBorder="1" applyAlignment="1" applyProtection="1">
      <alignment horizontal="center"/>
      <protection hidden="1"/>
    </xf>
    <xf numFmtId="0" fontId="8" fillId="0" borderId="10" xfId="0" applyFont="1" applyFill="1" applyBorder="1" applyAlignment="1" applyProtection="1">
      <alignment vertical="center" wrapText="1"/>
      <protection hidden="1"/>
    </xf>
    <xf numFmtId="0" fontId="8" fillId="0" borderId="5" xfId="0" applyFont="1" applyFill="1" applyBorder="1" applyAlignment="1" applyProtection="1">
      <alignment wrapText="1"/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  <xf numFmtId="0" fontId="8" fillId="0" borderId="21" xfId="0" applyFont="1" applyFill="1" applyBorder="1" applyAlignment="1" applyProtection="1">
      <alignment horizontal="center" vertical="center"/>
      <protection hidden="1"/>
    </xf>
    <xf numFmtId="0" fontId="8" fillId="0" borderId="11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22" xfId="0" applyFont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  <protection hidden="1"/>
    </xf>
    <xf numFmtId="0" fontId="8" fillId="0" borderId="7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8" fillId="0" borderId="9" xfId="0" applyFont="1" applyBorder="1" applyProtection="1"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vertical="center"/>
      <protection hidden="1"/>
    </xf>
    <xf numFmtId="0" fontId="8" fillId="0" borderId="5" xfId="0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horizontal="left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5" xfId="0" applyFont="1" applyBorder="1" applyAlignment="1" applyProtection="1">
      <alignment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2" fontId="7" fillId="4" borderId="18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protection hidden="1"/>
    </xf>
    <xf numFmtId="2" fontId="7" fillId="0" borderId="0" xfId="0" applyNumberFormat="1" applyFont="1" applyFill="1" applyBorder="1" applyAlignment="1" applyProtection="1">
      <protection hidden="1"/>
    </xf>
    <xf numFmtId="0" fontId="10" fillId="0" borderId="0" xfId="0" applyFont="1" applyProtection="1">
      <protection hidden="1"/>
    </xf>
    <xf numFmtId="0" fontId="10" fillId="0" borderId="0" xfId="0" applyFont="1" applyFill="1" applyProtection="1">
      <protection hidden="1"/>
    </xf>
    <xf numFmtId="0" fontId="7" fillId="5" borderId="5" xfId="0" applyFont="1" applyFill="1" applyBorder="1" applyAlignment="1" applyProtection="1">
      <alignment horizontal="center"/>
      <protection hidden="1"/>
    </xf>
    <xf numFmtId="2" fontId="7" fillId="5" borderId="5" xfId="0" applyNumberFormat="1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/>
      <protection hidden="1"/>
    </xf>
    <xf numFmtId="0" fontId="7" fillId="0" borderId="23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22" xfId="0" applyFont="1" applyFill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/>
      <protection hidden="1"/>
    </xf>
    <xf numFmtId="0" fontId="7" fillId="4" borderId="15" xfId="0" applyFont="1" applyFill="1" applyBorder="1" applyAlignment="1" applyProtection="1">
      <alignment horizontal="center"/>
      <protection hidden="1"/>
    </xf>
    <xf numFmtId="0" fontId="7" fillId="0" borderId="27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center"/>
      <protection hidden="1"/>
    </xf>
    <xf numFmtId="0" fontId="7" fillId="4" borderId="13" xfId="0" applyFont="1" applyFill="1" applyBorder="1" applyAlignment="1" applyProtection="1">
      <alignment horizontal="center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64" fontId="3" fillId="2" borderId="5" xfId="0" applyNumberFormat="1" applyFont="1" applyFill="1" applyBorder="1" applyAlignment="1" applyProtection="1">
      <alignment horizontal="center" vertical="center"/>
      <protection hidden="1"/>
    </xf>
    <xf numFmtId="2" fontId="3" fillId="0" borderId="5" xfId="0" applyNumberFormat="1" applyFont="1" applyBorder="1" applyAlignment="1" applyProtection="1">
      <alignment horizontal="center" vertical="center"/>
      <protection hidden="1"/>
    </xf>
    <xf numFmtId="2" fontId="7" fillId="0" borderId="18" xfId="0" applyNumberFormat="1" applyFont="1" applyBorder="1" applyAlignment="1" applyProtection="1">
      <alignment horizontal="center"/>
      <protection hidden="1"/>
    </xf>
    <xf numFmtId="2" fontId="7" fillId="4" borderId="13" xfId="0" applyNumberFormat="1" applyFont="1" applyFill="1" applyBorder="1" applyAlignment="1" applyProtection="1">
      <alignment horizontal="center"/>
      <protection hidden="1"/>
    </xf>
    <xf numFmtId="0" fontId="7" fillId="0" borderId="13" xfId="0" applyFont="1" applyFill="1" applyBorder="1" applyAlignment="1" applyProtection="1">
      <alignment horizontal="center"/>
      <protection hidden="1"/>
    </xf>
    <xf numFmtId="2" fontId="7" fillId="4" borderId="15" xfId="0" applyNumberFormat="1" applyFont="1" applyFill="1" applyBorder="1" applyAlignment="1" applyProtection="1">
      <alignment horizontal="center"/>
      <protection hidden="1"/>
    </xf>
    <xf numFmtId="0" fontId="7" fillId="0" borderId="15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2" fontId="7" fillId="0" borderId="0" xfId="0" applyNumberFormat="1" applyFont="1" applyFill="1" applyBorder="1" applyAlignment="1" applyProtection="1">
      <alignment horizontal="center"/>
      <protection hidden="1"/>
    </xf>
    <xf numFmtId="0" fontId="7" fillId="5" borderId="5" xfId="0" applyFont="1" applyFill="1" applyBorder="1" applyProtection="1">
      <protection hidden="1"/>
    </xf>
    <xf numFmtId="2" fontId="7" fillId="3" borderId="5" xfId="0" applyNumberFormat="1" applyFont="1" applyFill="1" applyBorder="1" applyAlignment="1" applyProtection="1">
      <alignment horizontal="center"/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7" fillId="0" borderId="17" xfId="0" applyFont="1" applyBorder="1" applyAlignment="1" applyProtection="1">
      <alignment horizontal="left"/>
      <protection hidden="1"/>
    </xf>
    <xf numFmtId="0" fontId="7" fillId="0" borderId="23" xfId="0" applyFont="1" applyBorder="1" applyAlignment="1" applyProtection="1">
      <alignment horizontal="left"/>
      <protection hidden="1"/>
    </xf>
    <xf numFmtId="0" fontId="7" fillId="0" borderId="7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9" xfId="0" applyFont="1" applyBorder="1" applyAlignment="1" applyProtection="1">
      <alignment horizontal="left"/>
      <protection hidden="1"/>
    </xf>
    <xf numFmtId="0" fontId="7" fillId="0" borderId="24" xfId="0" applyFont="1" applyBorder="1" applyAlignment="1" applyProtection="1">
      <alignment horizontal="left"/>
      <protection hidden="1"/>
    </xf>
    <xf numFmtId="0" fontId="7" fillId="0" borderId="8" xfId="0" applyFont="1" applyBorder="1" applyAlignment="1" applyProtection="1">
      <alignment horizontal="left"/>
      <protection hidden="1"/>
    </xf>
    <xf numFmtId="0" fontId="7" fillId="0" borderId="25" xfId="0" applyFont="1" applyBorder="1" applyAlignment="1" applyProtection="1">
      <alignment horizontal="left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11" fillId="3" borderId="9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3" borderId="2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3" borderId="29" xfId="0" applyFont="1" applyFill="1" applyBorder="1" applyAlignment="1" applyProtection="1">
      <alignment horizontal="left"/>
      <protection hidden="1"/>
    </xf>
    <xf numFmtId="0" fontId="7" fillId="3" borderId="30" xfId="0" applyFont="1" applyFill="1" applyBorder="1" applyAlignment="1" applyProtection="1">
      <alignment horizontal="left"/>
      <protection hidden="1"/>
    </xf>
    <xf numFmtId="0" fontId="7" fillId="5" borderId="28" xfId="0" applyFont="1" applyFill="1" applyBorder="1" applyAlignment="1" applyProtection="1">
      <alignment horizontal="left"/>
      <protection hidden="1"/>
    </xf>
    <xf numFmtId="0" fontId="7" fillId="5" borderId="26" xfId="0" applyFont="1" applyFill="1" applyBorder="1" applyAlignment="1" applyProtection="1">
      <alignment horizontal="left"/>
      <protection hidden="1"/>
    </xf>
    <xf numFmtId="0" fontId="7" fillId="5" borderId="10" xfId="0" applyFont="1" applyFill="1" applyBorder="1" applyAlignment="1" applyProtection="1">
      <alignment horizontal="left"/>
      <protection hidden="1"/>
    </xf>
    <xf numFmtId="0" fontId="7" fillId="5" borderId="5" xfId="0" applyFont="1" applyFill="1" applyBorder="1" applyAlignment="1" applyProtection="1">
      <alignment horizontal="left"/>
      <protection hidden="1"/>
    </xf>
    <xf numFmtId="0" fontId="8" fillId="5" borderId="10" xfId="0" applyFont="1" applyFill="1" applyBorder="1" applyAlignment="1" applyProtection="1">
      <alignment horizontal="left"/>
      <protection hidden="1"/>
    </xf>
    <xf numFmtId="0" fontId="8" fillId="5" borderId="5" xfId="0" applyFont="1" applyFill="1" applyBorder="1" applyAlignment="1" applyProtection="1">
      <alignment horizontal="left"/>
      <protection hidden="1"/>
    </xf>
    <xf numFmtId="0" fontId="7" fillId="3" borderId="14" xfId="0" applyFont="1" applyFill="1" applyBorder="1" applyAlignment="1" applyProtection="1">
      <alignment horizontal="left"/>
      <protection hidden="1"/>
    </xf>
    <xf numFmtId="0" fontId="7" fillId="3" borderId="15" xfId="0" applyFont="1" applyFill="1" applyBorder="1" applyAlignment="1" applyProtection="1">
      <alignment horizontal="left"/>
      <protection hidden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4" xfId="0" applyFont="1" applyBorder="1" applyAlignment="1" applyProtection="1">
      <alignment horizontal="left"/>
      <protection hidden="1"/>
    </xf>
    <xf numFmtId="0" fontId="7" fillId="0" borderId="15" xfId="0" applyFont="1" applyBorder="1" applyAlignment="1" applyProtection="1">
      <alignment horizontal="left"/>
      <protection hidden="1"/>
    </xf>
    <xf numFmtId="0" fontId="7" fillId="0" borderId="12" xfId="0" applyFont="1" applyBorder="1" applyAlignment="1" applyProtection="1">
      <alignment horizontal="left"/>
      <protection hidden="1"/>
    </xf>
    <xf numFmtId="0" fontId="7" fillId="0" borderId="13" xfId="0" applyFont="1" applyBorder="1" applyAlignment="1" applyProtection="1">
      <alignment horizontal="left"/>
      <protection hidden="1"/>
    </xf>
    <xf numFmtId="0" fontId="7" fillId="3" borderId="34" xfId="0" applyFont="1" applyFill="1" applyBorder="1" applyAlignment="1" applyProtection="1">
      <alignment horizontal="center"/>
      <protection hidden="1"/>
    </xf>
    <xf numFmtId="0" fontId="7" fillId="3" borderId="33" xfId="0" applyFont="1" applyFill="1" applyBorder="1" applyAlignment="1" applyProtection="1">
      <alignment horizontal="center"/>
      <protection hidden="1"/>
    </xf>
    <xf numFmtId="0" fontId="7" fillId="3" borderId="35" xfId="0" applyFont="1" applyFill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left"/>
      <protection hidden="1"/>
    </xf>
    <xf numFmtId="0" fontId="7" fillId="3" borderId="10" xfId="0" applyFont="1" applyFill="1" applyBorder="1" applyAlignment="1" applyProtection="1">
      <alignment horizontal="left"/>
      <protection hidden="1"/>
    </xf>
    <xf numFmtId="0" fontId="7" fillId="3" borderId="28" xfId="0" applyFont="1" applyFill="1" applyBorder="1" applyAlignment="1" applyProtection="1">
      <alignment horizontal="left"/>
      <protection hidden="1"/>
    </xf>
    <xf numFmtId="0" fontId="7" fillId="3" borderId="26" xfId="0" applyFont="1" applyFill="1" applyBorder="1" applyAlignment="1" applyProtection="1">
      <alignment horizontal="left"/>
      <protection hidden="1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2"/>
  <sheetViews>
    <sheetView tabSelected="1" view="pageBreakPreview" zoomScale="80" zoomScaleNormal="100" zoomScaleSheetLayoutView="80" workbookViewId="0">
      <pane ySplit="4" topLeftCell="A167" activePane="bottomLeft" state="frozen"/>
      <selection pane="bottomLeft" activeCell="F176" sqref="F176"/>
    </sheetView>
  </sheetViews>
  <sheetFormatPr defaultRowHeight="15" x14ac:dyDescent="0.25"/>
  <cols>
    <col min="1" max="1" width="22.140625" customWidth="1"/>
    <col min="2" max="2" width="36.140625" customWidth="1"/>
    <col min="3" max="3" width="9.5703125" bestFit="1" customWidth="1"/>
    <col min="6" max="6" width="11.140625" customWidth="1"/>
    <col min="7" max="7" width="14.140625" customWidth="1"/>
    <col min="9" max="9" width="9.140625" style="1"/>
  </cols>
  <sheetData>
    <row r="1" spans="1:15" s="1" customFormat="1" x14ac:dyDescent="0.25">
      <c r="A1" s="142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15" ht="15.75" thickBot="1" x14ac:dyDescent="0.3"/>
    <row r="3" spans="1:15" x14ac:dyDescent="0.25">
      <c r="A3" s="119" t="s">
        <v>0</v>
      </c>
      <c r="B3" s="121" t="s">
        <v>1</v>
      </c>
      <c r="C3" s="116" t="s">
        <v>2</v>
      </c>
      <c r="D3" s="123" t="s">
        <v>3</v>
      </c>
      <c r="E3" s="124"/>
      <c r="F3" s="125"/>
      <c r="G3" s="116" t="s">
        <v>4</v>
      </c>
      <c r="H3" s="118" t="s">
        <v>5</v>
      </c>
      <c r="I3" s="118"/>
      <c r="J3" s="118"/>
      <c r="K3" s="118"/>
      <c r="L3" s="113" t="s">
        <v>6</v>
      </c>
      <c r="M3" s="114"/>
      <c r="N3" s="114"/>
      <c r="O3" s="115"/>
    </row>
    <row r="4" spans="1:15" ht="36.75" customHeight="1" thickBot="1" x14ac:dyDescent="0.3">
      <c r="A4" s="120"/>
      <c r="B4" s="122"/>
      <c r="C4" s="117"/>
      <c r="D4" s="2" t="s">
        <v>7</v>
      </c>
      <c r="E4" s="2" t="s">
        <v>8</v>
      </c>
      <c r="F4" s="2" t="s">
        <v>9</v>
      </c>
      <c r="G4" s="117"/>
      <c r="H4" s="3" t="s">
        <v>10</v>
      </c>
      <c r="I4" s="3" t="s">
        <v>16</v>
      </c>
      <c r="J4" s="3" t="s">
        <v>11</v>
      </c>
      <c r="K4" s="3" t="s">
        <v>17</v>
      </c>
      <c r="L4" s="4" t="s">
        <v>12</v>
      </c>
      <c r="M4" s="3" t="s">
        <v>13</v>
      </c>
      <c r="N4" s="3" t="s">
        <v>14</v>
      </c>
      <c r="O4" s="5" t="s">
        <v>15</v>
      </c>
    </row>
    <row r="5" spans="1:15" ht="15.75" x14ac:dyDescent="0.25">
      <c r="A5" s="126" t="s">
        <v>18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8"/>
    </row>
    <row r="6" spans="1:15" ht="15.75" x14ac:dyDescent="0.25">
      <c r="A6" s="129" t="s">
        <v>19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1:15" ht="15.75" x14ac:dyDescent="0.25">
      <c r="A7" s="11" t="s">
        <v>87</v>
      </c>
      <c r="B7" s="12" t="s">
        <v>82</v>
      </c>
      <c r="C7" s="13">
        <v>200</v>
      </c>
      <c r="D7" s="13">
        <v>9.0399999999999991</v>
      </c>
      <c r="E7" s="13">
        <v>7.89</v>
      </c>
      <c r="F7" s="13">
        <v>47.58</v>
      </c>
      <c r="G7" s="13">
        <f>4*(D7+F7)+(E7*9)</f>
        <v>297.49</v>
      </c>
      <c r="H7" s="13">
        <v>0.22</v>
      </c>
      <c r="I7" s="13">
        <v>0.05</v>
      </c>
      <c r="J7" s="13">
        <v>0.06</v>
      </c>
      <c r="K7" s="13">
        <v>20</v>
      </c>
      <c r="L7" s="13">
        <v>129.12</v>
      </c>
      <c r="M7" s="13">
        <v>54.22</v>
      </c>
      <c r="N7" s="13">
        <v>97.54</v>
      </c>
      <c r="O7" s="14">
        <v>1.28</v>
      </c>
    </row>
    <row r="8" spans="1:15" ht="15.75" x14ac:dyDescent="0.25">
      <c r="A8" s="11" t="s">
        <v>88</v>
      </c>
      <c r="B8" s="12" t="s">
        <v>83</v>
      </c>
      <c r="C8" s="13">
        <v>50</v>
      </c>
      <c r="D8" s="13">
        <v>7.8</v>
      </c>
      <c r="E8" s="13">
        <v>12.73</v>
      </c>
      <c r="F8" s="13">
        <v>10.16</v>
      </c>
      <c r="G8" s="13">
        <f t="shared" ref="G8:G11" si="0">4*(D8+F8)+(E8*9)</f>
        <v>186.41000000000003</v>
      </c>
      <c r="H8" s="13">
        <v>6.0000000000000001E-3</v>
      </c>
      <c r="I8" s="13">
        <v>0.2</v>
      </c>
      <c r="J8" s="13">
        <v>0.06</v>
      </c>
      <c r="K8" s="13">
        <v>60</v>
      </c>
      <c r="L8" s="13">
        <v>120</v>
      </c>
      <c r="M8" s="13">
        <v>6.47</v>
      </c>
      <c r="N8" s="13">
        <v>120.87</v>
      </c>
      <c r="O8" s="14">
        <v>0.01</v>
      </c>
    </row>
    <row r="9" spans="1:15" ht="15.75" x14ac:dyDescent="0.25">
      <c r="A9" s="11" t="s">
        <v>89</v>
      </c>
      <c r="B9" s="12" t="s">
        <v>84</v>
      </c>
      <c r="C9" s="13">
        <v>200</v>
      </c>
      <c r="D9" s="13">
        <v>0.05</v>
      </c>
      <c r="E9" s="13">
        <v>0.02</v>
      </c>
      <c r="F9" s="13">
        <v>9.32</v>
      </c>
      <c r="G9" s="13">
        <f t="shared" si="0"/>
        <v>37.660000000000004</v>
      </c>
      <c r="H9" s="13">
        <v>0</v>
      </c>
      <c r="I9" s="13">
        <v>0</v>
      </c>
      <c r="J9" s="13">
        <v>0.02</v>
      </c>
      <c r="K9" s="13">
        <v>0</v>
      </c>
      <c r="L9" s="13">
        <v>8</v>
      </c>
      <c r="M9" s="13">
        <v>0.9</v>
      </c>
      <c r="N9" s="13">
        <v>1.6</v>
      </c>
      <c r="O9" s="14">
        <v>0.19</v>
      </c>
    </row>
    <row r="10" spans="1:15" ht="15.75" x14ac:dyDescent="0.25">
      <c r="A10" s="11"/>
      <c r="B10" s="12" t="s">
        <v>85</v>
      </c>
      <c r="C10" s="13">
        <v>40</v>
      </c>
      <c r="D10" s="13">
        <v>0.7</v>
      </c>
      <c r="E10" s="13">
        <v>0.3</v>
      </c>
      <c r="F10" s="13">
        <v>32</v>
      </c>
      <c r="G10" s="13">
        <f t="shared" si="0"/>
        <v>133.5</v>
      </c>
      <c r="H10" s="13">
        <v>0.06</v>
      </c>
      <c r="I10" s="13">
        <v>0.1</v>
      </c>
      <c r="J10" s="13">
        <v>15</v>
      </c>
      <c r="K10" s="13">
        <v>96</v>
      </c>
      <c r="L10" s="13">
        <v>35</v>
      </c>
      <c r="M10" s="13">
        <v>1</v>
      </c>
      <c r="N10" s="13">
        <v>35</v>
      </c>
      <c r="O10" s="14">
        <v>1.46</v>
      </c>
    </row>
    <row r="11" spans="1:15" ht="16.5" thickBot="1" x14ac:dyDescent="0.3">
      <c r="A11" s="11"/>
      <c r="B11" s="12" t="s">
        <v>86</v>
      </c>
      <c r="C11" s="13">
        <v>25</v>
      </c>
      <c r="D11" s="13">
        <v>1.6</v>
      </c>
      <c r="E11" s="13">
        <v>0.2</v>
      </c>
      <c r="F11" s="13">
        <v>10.4</v>
      </c>
      <c r="G11" s="13">
        <f t="shared" si="0"/>
        <v>49.8</v>
      </c>
      <c r="H11" s="13">
        <v>2.1999999999999999E-2</v>
      </c>
      <c r="I11" s="13">
        <v>0.01</v>
      </c>
      <c r="J11" s="13">
        <v>0</v>
      </c>
      <c r="K11" s="13">
        <v>0</v>
      </c>
      <c r="L11" s="13">
        <v>4.5999999999999996</v>
      </c>
      <c r="M11" s="13">
        <v>2.1</v>
      </c>
      <c r="N11" s="13">
        <v>21.2</v>
      </c>
      <c r="O11" s="14">
        <v>0.2</v>
      </c>
    </row>
    <row r="12" spans="1:15" ht="16.5" thickBot="1" x14ac:dyDescent="0.3">
      <c r="A12" s="90" t="s">
        <v>20</v>
      </c>
      <c r="B12" s="91"/>
      <c r="C12" s="9">
        <f>SUM(C7:C11)</f>
        <v>515</v>
      </c>
      <c r="D12" s="9">
        <f t="shared" ref="D12:O12" si="1">SUM(D7:D11)</f>
        <v>19.190000000000001</v>
      </c>
      <c r="E12" s="9">
        <f t="shared" si="1"/>
        <v>21.14</v>
      </c>
      <c r="F12" s="9">
        <f t="shared" si="1"/>
        <v>109.46000000000001</v>
      </c>
      <c r="G12" s="9">
        <f t="shared" si="1"/>
        <v>704.86</v>
      </c>
      <c r="H12" s="9">
        <f t="shared" si="1"/>
        <v>0.30800000000000005</v>
      </c>
      <c r="I12" s="9">
        <f t="shared" si="1"/>
        <v>0.36</v>
      </c>
      <c r="J12" s="9">
        <f t="shared" si="1"/>
        <v>15.14</v>
      </c>
      <c r="K12" s="9">
        <f t="shared" si="1"/>
        <v>176</v>
      </c>
      <c r="L12" s="9">
        <f t="shared" si="1"/>
        <v>296.72000000000003</v>
      </c>
      <c r="M12" s="9">
        <f t="shared" si="1"/>
        <v>64.69</v>
      </c>
      <c r="N12" s="9">
        <f t="shared" si="1"/>
        <v>276.21000000000004</v>
      </c>
      <c r="O12" s="10">
        <f t="shared" si="1"/>
        <v>3.14</v>
      </c>
    </row>
    <row r="13" spans="1:15" ht="15.75" x14ac:dyDescent="0.25">
      <c r="A13" s="95" t="s">
        <v>21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</row>
    <row r="14" spans="1:15" ht="15.75" x14ac:dyDescent="0.25">
      <c r="A14" s="11" t="s">
        <v>96</v>
      </c>
      <c r="B14" s="12" t="s">
        <v>90</v>
      </c>
      <c r="C14" s="13">
        <v>250</v>
      </c>
      <c r="D14" s="13">
        <v>12.5</v>
      </c>
      <c r="E14" s="13">
        <v>11.72</v>
      </c>
      <c r="F14" s="13">
        <v>21.05</v>
      </c>
      <c r="G14" s="13">
        <f>4*(D14+F14)+(9*E14)</f>
        <v>239.68</v>
      </c>
      <c r="H14" s="13">
        <v>0.27</v>
      </c>
      <c r="I14" s="13">
        <v>0.27</v>
      </c>
      <c r="J14" s="13">
        <v>7.9</v>
      </c>
      <c r="K14" s="13">
        <v>137</v>
      </c>
      <c r="L14" s="13">
        <v>99.25</v>
      </c>
      <c r="M14" s="13">
        <v>39.1</v>
      </c>
      <c r="N14" s="13">
        <v>186.5</v>
      </c>
      <c r="O14" s="14">
        <v>1.0840000000000001</v>
      </c>
    </row>
    <row r="15" spans="1:15" ht="15.75" x14ac:dyDescent="0.25">
      <c r="A15" s="15" t="s">
        <v>211</v>
      </c>
      <c r="B15" s="16" t="s">
        <v>213</v>
      </c>
      <c r="C15" s="17">
        <v>90</v>
      </c>
      <c r="D15" s="17">
        <v>17.57</v>
      </c>
      <c r="E15" s="17">
        <v>10.71</v>
      </c>
      <c r="F15" s="17">
        <v>26.5</v>
      </c>
      <c r="G15" s="17">
        <f>4*(D15+F15)+(9*E15)</f>
        <v>272.67</v>
      </c>
      <c r="H15" s="17">
        <v>0.12</v>
      </c>
      <c r="I15" s="17">
        <v>8.5000000000000006E-2</v>
      </c>
      <c r="J15" s="17">
        <v>2.5099999999999998</v>
      </c>
      <c r="K15" s="17">
        <v>102</v>
      </c>
      <c r="L15" s="17">
        <v>146.80000000000001</v>
      </c>
      <c r="M15" s="17">
        <v>31.9</v>
      </c>
      <c r="N15" s="17">
        <v>128.6</v>
      </c>
      <c r="O15" s="18">
        <v>0.63</v>
      </c>
    </row>
    <row r="16" spans="1:15" ht="15.75" x14ac:dyDescent="0.25">
      <c r="A16" s="19" t="s">
        <v>229</v>
      </c>
      <c r="B16" s="20" t="s">
        <v>212</v>
      </c>
      <c r="C16" s="21">
        <v>150</v>
      </c>
      <c r="D16" s="21">
        <v>0.39</v>
      </c>
      <c r="E16" s="21">
        <v>5.05</v>
      </c>
      <c r="F16" s="21">
        <v>1.5</v>
      </c>
      <c r="G16" s="21">
        <f t="shared" ref="G16:G19" si="2">4*(D16+F16)+(9*E16)</f>
        <v>53.01</v>
      </c>
      <c r="H16" s="21">
        <v>0.01</v>
      </c>
      <c r="I16" s="21">
        <v>7.0000000000000007E-2</v>
      </c>
      <c r="J16" s="21">
        <v>6.1</v>
      </c>
      <c r="K16" s="21">
        <v>15</v>
      </c>
      <c r="L16" s="21">
        <v>44.1</v>
      </c>
      <c r="M16" s="21">
        <v>17.3</v>
      </c>
      <c r="N16" s="21">
        <v>22.8</v>
      </c>
      <c r="O16" s="22">
        <v>0.61099999999999999</v>
      </c>
    </row>
    <row r="17" spans="1:15" ht="15.75" x14ac:dyDescent="0.25">
      <c r="A17" s="11" t="s">
        <v>95</v>
      </c>
      <c r="B17" s="12" t="s">
        <v>91</v>
      </c>
      <c r="C17" s="13">
        <v>180</v>
      </c>
      <c r="D17" s="13">
        <v>0.4</v>
      </c>
      <c r="E17" s="13">
        <v>0.02</v>
      </c>
      <c r="F17" s="13">
        <v>19.73</v>
      </c>
      <c r="G17" s="13">
        <f t="shared" si="2"/>
        <v>80.7</v>
      </c>
      <c r="H17" s="13">
        <v>2E-3</v>
      </c>
      <c r="I17" s="13">
        <v>0.05</v>
      </c>
      <c r="J17" s="13">
        <v>7.6</v>
      </c>
      <c r="K17" s="13">
        <v>0</v>
      </c>
      <c r="L17" s="13">
        <v>73.87</v>
      </c>
      <c r="M17" s="13">
        <v>2.5</v>
      </c>
      <c r="N17" s="13">
        <v>21.55</v>
      </c>
      <c r="O17" s="14">
        <v>0.3</v>
      </c>
    </row>
    <row r="18" spans="1:15" ht="15.75" x14ac:dyDescent="0.25">
      <c r="A18" s="11"/>
      <c r="B18" s="12" t="s">
        <v>86</v>
      </c>
      <c r="C18" s="13">
        <v>25</v>
      </c>
      <c r="D18" s="13">
        <v>1.6</v>
      </c>
      <c r="E18" s="13">
        <v>0.2</v>
      </c>
      <c r="F18" s="13">
        <v>10.4</v>
      </c>
      <c r="G18" s="13">
        <f>4*(D18+F18)+(E18*9)</f>
        <v>49.8</v>
      </c>
      <c r="H18" s="13">
        <v>2.1999999999999999E-2</v>
      </c>
      <c r="I18" s="13">
        <v>0.01</v>
      </c>
      <c r="J18" s="13">
        <v>0</v>
      </c>
      <c r="K18" s="13">
        <v>0</v>
      </c>
      <c r="L18" s="13">
        <v>4.5999999999999996</v>
      </c>
      <c r="M18" s="13">
        <v>2.1</v>
      </c>
      <c r="N18" s="13">
        <v>21.2</v>
      </c>
      <c r="O18" s="14">
        <v>0.2</v>
      </c>
    </row>
    <row r="19" spans="1:15" ht="16.5" thickBot="1" x14ac:dyDescent="0.3">
      <c r="A19" s="11"/>
      <c r="B19" s="12" t="s">
        <v>92</v>
      </c>
      <c r="C19" s="13">
        <v>25</v>
      </c>
      <c r="D19" s="13">
        <v>1.3</v>
      </c>
      <c r="E19" s="13">
        <v>0.2</v>
      </c>
      <c r="F19" s="13">
        <v>8.1999999999999993</v>
      </c>
      <c r="G19" s="13">
        <f t="shared" si="2"/>
        <v>39.799999999999997</v>
      </c>
      <c r="H19" s="13">
        <v>2.1999999999999999E-2</v>
      </c>
      <c r="I19" s="13">
        <v>0.01</v>
      </c>
      <c r="J19" s="13">
        <v>0</v>
      </c>
      <c r="K19" s="13">
        <v>0</v>
      </c>
      <c r="L19" s="13">
        <v>5</v>
      </c>
      <c r="M19" s="13">
        <v>2.8</v>
      </c>
      <c r="N19" s="13">
        <v>13</v>
      </c>
      <c r="O19" s="14">
        <v>0.22</v>
      </c>
    </row>
    <row r="20" spans="1:15" ht="16.5" thickBot="1" x14ac:dyDescent="0.3">
      <c r="A20" s="90" t="s">
        <v>20</v>
      </c>
      <c r="B20" s="91"/>
      <c r="C20" s="9">
        <f>SUM(C14:C19)</f>
        <v>720</v>
      </c>
      <c r="D20" s="9">
        <f t="shared" ref="D20:O20" si="3">SUM(D14:D19)</f>
        <v>33.76</v>
      </c>
      <c r="E20" s="9">
        <f t="shared" si="3"/>
        <v>27.9</v>
      </c>
      <c r="F20" s="9">
        <f t="shared" si="3"/>
        <v>87.38000000000001</v>
      </c>
      <c r="G20" s="9">
        <f t="shared" si="3"/>
        <v>735.66</v>
      </c>
      <c r="H20" s="9">
        <f t="shared" si="3"/>
        <v>0.44600000000000006</v>
      </c>
      <c r="I20" s="9">
        <f t="shared" si="3"/>
        <v>0.49500000000000005</v>
      </c>
      <c r="J20" s="9">
        <f t="shared" si="3"/>
        <v>24.11</v>
      </c>
      <c r="K20" s="9">
        <f t="shared" si="3"/>
        <v>254</v>
      </c>
      <c r="L20" s="9">
        <f t="shared" si="3"/>
        <v>373.62000000000006</v>
      </c>
      <c r="M20" s="9">
        <f t="shared" si="3"/>
        <v>95.699999999999989</v>
      </c>
      <c r="N20" s="9">
        <f t="shared" si="3"/>
        <v>393.65000000000003</v>
      </c>
      <c r="O20" s="10">
        <f t="shared" si="3"/>
        <v>3.0450000000000004</v>
      </c>
    </row>
    <row r="21" spans="1:15" ht="15.75" x14ac:dyDescent="0.25">
      <c r="A21" s="95" t="s">
        <v>22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7"/>
    </row>
    <row r="22" spans="1:15" ht="15.75" x14ac:dyDescent="0.25">
      <c r="A22" s="11" t="s">
        <v>106</v>
      </c>
      <c r="B22" s="12" t="s">
        <v>93</v>
      </c>
      <c r="C22" s="13">
        <v>50</v>
      </c>
      <c r="D22" s="13">
        <v>3.46</v>
      </c>
      <c r="E22" s="13">
        <v>10.89</v>
      </c>
      <c r="F22" s="13">
        <v>33.380000000000003</v>
      </c>
      <c r="G22" s="13">
        <f>4*(D22+F22)+(E22*9)</f>
        <v>245.37</v>
      </c>
      <c r="H22" s="13">
        <v>0.16</v>
      </c>
      <c r="I22" s="13">
        <v>0.2</v>
      </c>
      <c r="J22" s="13">
        <v>2</v>
      </c>
      <c r="K22" s="13">
        <v>95</v>
      </c>
      <c r="L22" s="13">
        <v>140</v>
      </c>
      <c r="M22" s="13">
        <v>19.2</v>
      </c>
      <c r="N22" s="13">
        <v>141.69999999999999</v>
      </c>
      <c r="O22" s="14">
        <v>0.1</v>
      </c>
    </row>
    <row r="23" spans="1:15" ht="16.5" thickBot="1" x14ac:dyDescent="0.3">
      <c r="A23" s="23"/>
      <c r="B23" s="24" t="s">
        <v>94</v>
      </c>
      <c r="C23" s="25">
        <v>200</v>
      </c>
      <c r="D23" s="25">
        <v>1</v>
      </c>
      <c r="E23" s="25">
        <v>0</v>
      </c>
      <c r="F23" s="25">
        <v>20.2</v>
      </c>
      <c r="G23" s="13">
        <f>4*(D23+F23)+(E23*9)</f>
        <v>84.8</v>
      </c>
      <c r="H23" s="25">
        <v>0</v>
      </c>
      <c r="I23" s="25">
        <v>3.0000000000000001E-3</v>
      </c>
      <c r="J23" s="25">
        <v>4</v>
      </c>
      <c r="K23" s="25">
        <v>0</v>
      </c>
      <c r="L23" s="25">
        <v>14.8</v>
      </c>
      <c r="M23" s="25">
        <v>8</v>
      </c>
      <c r="N23" s="25">
        <v>14.08</v>
      </c>
      <c r="O23" s="26">
        <v>2.8</v>
      </c>
    </row>
    <row r="24" spans="1:15" ht="16.5" thickBot="1" x14ac:dyDescent="0.3">
      <c r="A24" s="90" t="s">
        <v>20</v>
      </c>
      <c r="B24" s="91"/>
      <c r="C24" s="27">
        <v>250</v>
      </c>
      <c r="D24" s="9">
        <f>SUM(D22:D23)</f>
        <v>4.46</v>
      </c>
      <c r="E24" s="9">
        <f t="shared" ref="E24:O24" si="4">SUM(E22:E23)</f>
        <v>10.89</v>
      </c>
      <c r="F24" s="9">
        <f t="shared" si="4"/>
        <v>53.58</v>
      </c>
      <c r="G24" s="9">
        <f t="shared" si="4"/>
        <v>330.17</v>
      </c>
      <c r="H24" s="9">
        <f t="shared" si="4"/>
        <v>0.16</v>
      </c>
      <c r="I24" s="9">
        <f t="shared" si="4"/>
        <v>0.20300000000000001</v>
      </c>
      <c r="J24" s="9">
        <f t="shared" si="4"/>
        <v>6</v>
      </c>
      <c r="K24" s="9">
        <f t="shared" si="4"/>
        <v>95</v>
      </c>
      <c r="L24" s="9">
        <f t="shared" si="4"/>
        <v>154.80000000000001</v>
      </c>
      <c r="M24" s="9">
        <f t="shared" si="4"/>
        <v>27.2</v>
      </c>
      <c r="N24" s="9">
        <f t="shared" si="4"/>
        <v>155.78</v>
      </c>
      <c r="O24" s="10">
        <f t="shared" si="4"/>
        <v>2.9</v>
      </c>
    </row>
    <row r="25" spans="1:15" ht="16.5" thickBot="1" x14ac:dyDescent="0.3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/>
    </row>
    <row r="26" spans="1:15" ht="16.5" thickBot="1" x14ac:dyDescent="0.3">
      <c r="A26" s="90" t="s">
        <v>23</v>
      </c>
      <c r="B26" s="91"/>
      <c r="C26" s="9">
        <f>C24+C20+C12</f>
        <v>1485</v>
      </c>
      <c r="D26" s="31">
        <f t="shared" ref="D26:O26" si="5">D24+D20+D12</f>
        <v>57.41</v>
      </c>
      <c r="E26" s="31">
        <f t="shared" si="5"/>
        <v>59.93</v>
      </c>
      <c r="F26" s="31">
        <f t="shared" si="5"/>
        <v>250.42000000000002</v>
      </c>
      <c r="G26" s="31">
        <f t="shared" si="5"/>
        <v>1770.69</v>
      </c>
      <c r="H26" s="9">
        <f t="shared" si="5"/>
        <v>0.91400000000000015</v>
      </c>
      <c r="I26" s="9">
        <f t="shared" si="5"/>
        <v>1.0580000000000001</v>
      </c>
      <c r="J26" s="9">
        <f t="shared" si="5"/>
        <v>45.25</v>
      </c>
      <c r="K26" s="27">
        <f t="shared" si="5"/>
        <v>525</v>
      </c>
      <c r="L26" s="27">
        <f t="shared" si="5"/>
        <v>825.1400000000001</v>
      </c>
      <c r="M26" s="9">
        <f t="shared" si="5"/>
        <v>187.58999999999997</v>
      </c>
      <c r="N26" s="9">
        <f t="shared" si="5"/>
        <v>825.6400000000001</v>
      </c>
      <c r="O26" s="10">
        <f t="shared" si="5"/>
        <v>9.0850000000000009</v>
      </c>
    </row>
    <row r="27" spans="1:15" s="1" customFormat="1" ht="15.75" x14ac:dyDescent="0.25">
      <c r="A27" s="32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4"/>
      <c r="N27" s="34"/>
      <c r="O27" s="34"/>
    </row>
    <row r="28" spans="1:15" s="1" customFormat="1" x14ac:dyDescent="0.25">
      <c r="A28" s="87" t="s">
        <v>209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  <row r="29" spans="1:15" s="1" customFormat="1" ht="15.75" x14ac:dyDescent="0.25">
      <c r="A29" s="32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4"/>
      <c r="N29" s="34"/>
      <c r="O29" s="34"/>
    </row>
    <row r="30" spans="1:15" s="1" customFormat="1" x14ac:dyDescent="0.25">
      <c r="A30" s="88" t="s">
        <v>208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</row>
    <row r="31" spans="1:15" s="1" customFormat="1" ht="15.75" x14ac:dyDescent="0.25">
      <c r="A31" s="32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  <c r="N31" s="34"/>
      <c r="O31" s="34"/>
    </row>
    <row r="32" spans="1:15" s="1" customFormat="1" ht="16.5" thickBot="1" x14ac:dyDescent="0.3">
      <c r="A32" s="32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4"/>
      <c r="N32" s="34"/>
      <c r="O32" s="34"/>
    </row>
    <row r="33" spans="1:15" s="1" customFormat="1" x14ac:dyDescent="0.25">
      <c r="A33" s="98" t="s">
        <v>0</v>
      </c>
      <c r="B33" s="100" t="s">
        <v>1</v>
      </c>
      <c r="C33" s="102" t="s">
        <v>2</v>
      </c>
      <c r="D33" s="104" t="s">
        <v>3</v>
      </c>
      <c r="E33" s="105"/>
      <c r="F33" s="106"/>
      <c r="G33" s="102" t="s">
        <v>4</v>
      </c>
      <c r="H33" s="107" t="s">
        <v>5</v>
      </c>
      <c r="I33" s="107"/>
      <c r="J33" s="107"/>
      <c r="K33" s="107"/>
      <c r="L33" s="108" t="s">
        <v>6</v>
      </c>
      <c r="M33" s="109"/>
      <c r="N33" s="109"/>
      <c r="O33" s="110"/>
    </row>
    <row r="34" spans="1:15" ht="49.5" customHeight="1" thickBot="1" x14ac:dyDescent="0.3">
      <c r="A34" s="99"/>
      <c r="B34" s="101"/>
      <c r="C34" s="103"/>
      <c r="D34" s="35" t="s">
        <v>7</v>
      </c>
      <c r="E34" s="35" t="s">
        <v>8</v>
      </c>
      <c r="F34" s="35" t="s">
        <v>9</v>
      </c>
      <c r="G34" s="103"/>
      <c r="H34" s="36" t="s">
        <v>10</v>
      </c>
      <c r="I34" s="36" t="s">
        <v>16</v>
      </c>
      <c r="J34" s="36" t="s">
        <v>11</v>
      </c>
      <c r="K34" s="36" t="s">
        <v>17</v>
      </c>
      <c r="L34" s="37" t="s">
        <v>12</v>
      </c>
      <c r="M34" s="36" t="s">
        <v>13</v>
      </c>
      <c r="N34" s="36" t="s">
        <v>14</v>
      </c>
      <c r="O34" s="38" t="s">
        <v>15</v>
      </c>
    </row>
    <row r="35" spans="1:15" ht="15.75" x14ac:dyDescent="0.25">
      <c r="A35" s="84" t="s">
        <v>24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6"/>
    </row>
    <row r="36" spans="1:15" ht="15.75" x14ac:dyDescent="0.25">
      <c r="A36" s="92" t="s">
        <v>19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  <row r="37" spans="1:15" ht="31.5" x14ac:dyDescent="0.25">
      <c r="A37" s="39" t="s">
        <v>97</v>
      </c>
      <c r="B37" s="40" t="s">
        <v>269</v>
      </c>
      <c r="C37" s="41">
        <v>160</v>
      </c>
      <c r="D37" s="41">
        <v>18.7</v>
      </c>
      <c r="E37" s="41">
        <v>12</v>
      </c>
      <c r="F37" s="41">
        <v>21.8</v>
      </c>
      <c r="G37" s="41">
        <f>4*(D37+F37)+(E37*9)</f>
        <v>270</v>
      </c>
      <c r="H37" s="41">
        <v>0.4</v>
      </c>
      <c r="I37" s="41">
        <v>2.9000000000000001E-2</v>
      </c>
      <c r="J37" s="41">
        <v>24</v>
      </c>
      <c r="K37" s="41">
        <v>138.69999999999999</v>
      </c>
      <c r="L37" s="41">
        <v>186.1</v>
      </c>
      <c r="M37" s="41">
        <v>29.12</v>
      </c>
      <c r="N37" s="41">
        <v>169.3</v>
      </c>
      <c r="O37" s="42">
        <v>1.29</v>
      </c>
    </row>
    <row r="38" spans="1:15" ht="15.75" x14ac:dyDescent="0.25">
      <c r="A38" s="11" t="s">
        <v>89</v>
      </c>
      <c r="B38" s="12" t="s">
        <v>84</v>
      </c>
      <c r="C38" s="13">
        <v>200</v>
      </c>
      <c r="D38" s="13">
        <v>0.05</v>
      </c>
      <c r="E38" s="13">
        <v>0.02</v>
      </c>
      <c r="F38" s="13">
        <v>9.32</v>
      </c>
      <c r="G38" s="13">
        <f t="shared" ref="G38:G40" si="6">4*(D38+F38)+(E38*9)</f>
        <v>37.660000000000004</v>
      </c>
      <c r="H38" s="13">
        <v>0</v>
      </c>
      <c r="I38" s="13">
        <v>0</v>
      </c>
      <c r="J38" s="13">
        <v>0.02</v>
      </c>
      <c r="K38" s="13">
        <v>0</v>
      </c>
      <c r="L38" s="13">
        <v>8</v>
      </c>
      <c r="M38" s="13">
        <v>0.9</v>
      </c>
      <c r="N38" s="13">
        <v>1.6</v>
      </c>
      <c r="O38" s="14">
        <v>0.19</v>
      </c>
    </row>
    <row r="39" spans="1:15" ht="15.75" x14ac:dyDescent="0.25">
      <c r="A39" s="11"/>
      <c r="B39" s="12" t="s">
        <v>86</v>
      </c>
      <c r="C39" s="13">
        <v>25</v>
      </c>
      <c r="D39" s="13">
        <v>1.6</v>
      </c>
      <c r="E39" s="13">
        <v>0.2</v>
      </c>
      <c r="F39" s="13">
        <v>10.4</v>
      </c>
      <c r="G39" s="13">
        <f t="shared" si="6"/>
        <v>49.8</v>
      </c>
      <c r="H39" s="13">
        <v>2.1999999999999999E-2</v>
      </c>
      <c r="I39" s="13">
        <v>0.01</v>
      </c>
      <c r="J39" s="13">
        <v>0</v>
      </c>
      <c r="K39" s="13">
        <v>0</v>
      </c>
      <c r="L39" s="13">
        <v>4.5999999999999996</v>
      </c>
      <c r="M39" s="13">
        <v>2.1</v>
      </c>
      <c r="N39" s="13">
        <v>21.2</v>
      </c>
      <c r="O39" s="14">
        <v>0.2</v>
      </c>
    </row>
    <row r="40" spans="1:15" ht="16.5" thickBot="1" x14ac:dyDescent="0.3">
      <c r="A40" s="11"/>
      <c r="B40" s="12" t="s">
        <v>270</v>
      </c>
      <c r="C40" s="13">
        <v>90</v>
      </c>
      <c r="D40" s="13">
        <v>3.1</v>
      </c>
      <c r="E40" s="13">
        <v>6.2</v>
      </c>
      <c r="F40" s="13">
        <v>9.3000000000000007</v>
      </c>
      <c r="G40" s="13">
        <f t="shared" si="6"/>
        <v>105.4</v>
      </c>
      <c r="H40" s="13"/>
      <c r="I40" s="13"/>
      <c r="J40" s="13"/>
      <c r="K40" s="13">
        <v>154</v>
      </c>
      <c r="L40" s="13">
        <v>160</v>
      </c>
      <c r="M40" s="13"/>
      <c r="N40" s="13"/>
      <c r="O40" s="14"/>
    </row>
    <row r="41" spans="1:15" ht="16.5" thickBot="1" x14ac:dyDescent="0.3">
      <c r="A41" s="90" t="s">
        <v>20</v>
      </c>
      <c r="B41" s="91"/>
      <c r="C41" s="9">
        <f t="shared" ref="C41:O41" si="7">SUM(C37:C40)</f>
        <v>475</v>
      </c>
      <c r="D41" s="9">
        <f t="shared" si="7"/>
        <v>23.450000000000003</v>
      </c>
      <c r="E41" s="9">
        <f t="shared" si="7"/>
        <v>18.419999999999998</v>
      </c>
      <c r="F41" s="9">
        <f t="shared" si="7"/>
        <v>50.820000000000007</v>
      </c>
      <c r="G41" s="9">
        <f t="shared" si="7"/>
        <v>462.86</v>
      </c>
      <c r="H41" s="9">
        <f t="shared" si="7"/>
        <v>0.42200000000000004</v>
      </c>
      <c r="I41" s="9">
        <f t="shared" si="7"/>
        <v>3.9E-2</v>
      </c>
      <c r="J41" s="9">
        <f t="shared" si="7"/>
        <v>24.02</v>
      </c>
      <c r="K41" s="9">
        <f t="shared" si="7"/>
        <v>292.7</v>
      </c>
      <c r="L41" s="9">
        <f t="shared" si="7"/>
        <v>358.7</v>
      </c>
      <c r="M41" s="9">
        <f t="shared" si="7"/>
        <v>32.119999999999997</v>
      </c>
      <c r="N41" s="9">
        <f t="shared" si="7"/>
        <v>192.1</v>
      </c>
      <c r="O41" s="10">
        <f t="shared" si="7"/>
        <v>1.68</v>
      </c>
    </row>
    <row r="42" spans="1:15" ht="15.75" x14ac:dyDescent="0.25">
      <c r="A42" s="95" t="s">
        <v>21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5" ht="15.75" x14ac:dyDescent="0.25">
      <c r="A43" s="11" t="s">
        <v>103</v>
      </c>
      <c r="B43" s="12" t="s">
        <v>98</v>
      </c>
      <c r="C43" s="13">
        <v>250</v>
      </c>
      <c r="D43" s="13">
        <v>4.78</v>
      </c>
      <c r="E43" s="13">
        <v>8.65</v>
      </c>
      <c r="F43" s="13">
        <v>17.760000000000002</v>
      </c>
      <c r="G43" s="13">
        <f>4*(D43+F43)+(E43*9)</f>
        <v>168.01000000000002</v>
      </c>
      <c r="H43" s="13">
        <v>0.12</v>
      </c>
      <c r="I43" s="13">
        <v>0.02</v>
      </c>
      <c r="J43" s="13">
        <v>2.5000000000000001E-2</v>
      </c>
      <c r="K43" s="13">
        <v>93.3</v>
      </c>
      <c r="L43" s="13">
        <v>68.099999999999994</v>
      </c>
      <c r="M43" s="13">
        <v>36.299999999999997</v>
      </c>
      <c r="N43" s="13">
        <v>83.2</v>
      </c>
      <c r="O43" s="14">
        <v>1.6060000000000001</v>
      </c>
    </row>
    <row r="44" spans="1:15" ht="15.75" x14ac:dyDescent="0.25">
      <c r="A44" s="11" t="s">
        <v>173</v>
      </c>
      <c r="B44" s="12" t="s">
        <v>99</v>
      </c>
      <c r="C44" s="13">
        <v>90</v>
      </c>
      <c r="D44" s="13">
        <v>10.68</v>
      </c>
      <c r="E44" s="13">
        <v>8.3000000000000007</v>
      </c>
      <c r="F44" s="13">
        <v>32.6</v>
      </c>
      <c r="G44" s="13">
        <f t="shared" ref="G44:G49" si="8">4*(D44+F44)+(E44*9)</f>
        <v>247.82</v>
      </c>
      <c r="H44" s="13">
        <v>0.12</v>
      </c>
      <c r="I44" s="13">
        <v>0.8</v>
      </c>
      <c r="J44" s="13">
        <v>19</v>
      </c>
      <c r="K44" s="13">
        <v>107.77</v>
      </c>
      <c r="L44" s="13">
        <v>94.1</v>
      </c>
      <c r="M44" s="13">
        <v>27</v>
      </c>
      <c r="N44" s="13">
        <v>153.19999999999999</v>
      </c>
      <c r="O44" s="14">
        <v>1.722</v>
      </c>
    </row>
    <row r="45" spans="1:15" ht="15.75" x14ac:dyDescent="0.25">
      <c r="A45" s="11" t="s">
        <v>104</v>
      </c>
      <c r="B45" s="12" t="s">
        <v>100</v>
      </c>
      <c r="C45" s="13">
        <v>150</v>
      </c>
      <c r="D45" s="13">
        <v>4.58</v>
      </c>
      <c r="E45" s="13">
        <v>9.5</v>
      </c>
      <c r="F45" s="13">
        <v>46.49</v>
      </c>
      <c r="G45" s="13">
        <f t="shared" si="8"/>
        <v>289.77999999999997</v>
      </c>
      <c r="H45" s="13">
        <v>0.04</v>
      </c>
      <c r="I45" s="13">
        <v>0</v>
      </c>
      <c r="J45" s="13">
        <v>7.0000000000000007E-2</v>
      </c>
      <c r="K45" s="13">
        <v>16.100000000000001</v>
      </c>
      <c r="L45" s="13">
        <v>72.73</v>
      </c>
      <c r="M45" s="13">
        <v>27.5</v>
      </c>
      <c r="N45" s="13">
        <v>73.98</v>
      </c>
      <c r="O45" s="14">
        <v>0.83</v>
      </c>
    </row>
    <row r="46" spans="1:15" ht="15.75" x14ac:dyDescent="0.25">
      <c r="A46" s="11" t="s">
        <v>242</v>
      </c>
      <c r="B46" s="12" t="s">
        <v>241</v>
      </c>
      <c r="C46" s="13">
        <v>60</v>
      </c>
      <c r="D46" s="13">
        <v>0.66</v>
      </c>
      <c r="E46" s="13">
        <v>1.2</v>
      </c>
      <c r="F46" s="13">
        <v>2.1</v>
      </c>
      <c r="G46" s="41">
        <f t="shared" si="8"/>
        <v>21.84</v>
      </c>
      <c r="H46" s="13">
        <v>0</v>
      </c>
      <c r="I46" s="13">
        <v>1.4E-2</v>
      </c>
      <c r="J46" s="13">
        <v>1.5</v>
      </c>
      <c r="K46" s="13">
        <v>0</v>
      </c>
      <c r="L46" s="13">
        <v>8.4</v>
      </c>
      <c r="M46" s="13">
        <v>6</v>
      </c>
      <c r="N46" s="13">
        <v>15.6</v>
      </c>
      <c r="O46" s="14">
        <v>0.54</v>
      </c>
    </row>
    <row r="47" spans="1:15" ht="16.5" customHeight="1" x14ac:dyDescent="0.25">
      <c r="A47" s="43" t="s">
        <v>105</v>
      </c>
      <c r="B47" s="12" t="s">
        <v>101</v>
      </c>
      <c r="C47" s="41">
        <v>180</v>
      </c>
      <c r="D47" s="41">
        <v>0.2</v>
      </c>
      <c r="E47" s="41">
        <v>0.06</v>
      </c>
      <c r="F47" s="41">
        <v>22.62</v>
      </c>
      <c r="G47" s="41">
        <f t="shared" si="8"/>
        <v>91.820000000000007</v>
      </c>
      <c r="H47" s="41">
        <v>0</v>
      </c>
      <c r="I47" s="41">
        <v>0.1</v>
      </c>
      <c r="J47" s="41">
        <v>0</v>
      </c>
      <c r="K47" s="41">
        <v>0</v>
      </c>
      <c r="L47" s="41">
        <v>5.25</v>
      </c>
      <c r="M47" s="41">
        <v>4.4000000000000004</v>
      </c>
      <c r="N47" s="41">
        <v>8.24</v>
      </c>
      <c r="O47" s="42">
        <v>0.86</v>
      </c>
    </row>
    <row r="48" spans="1:15" ht="15.75" x14ac:dyDescent="0.25">
      <c r="A48" s="11"/>
      <c r="B48" s="12" t="s">
        <v>86</v>
      </c>
      <c r="C48" s="13">
        <v>25</v>
      </c>
      <c r="D48" s="13">
        <v>1.6</v>
      </c>
      <c r="E48" s="13">
        <v>0.2</v>
      </c>
      <c r="F48" s="13">
        <v>10.4</v>
      </c>
      <c r="G48" s="13">
        <f t="shared" si="8"/>
        <v>49.8</v>
      </c>
      <c r="H48" s="13">
        <v>2.1999999999999999E-2</v>
      </c>
      <c r="I48" s="13">
        <v>0.01</v>
      </c>
      <c r="J48" s="13">
        <v>0</v>
      </c>
      <c r="K48" s="13">
        <v>0</v>
      </c>
      <c r="L48" s="13">
        <v>4.5999999999999996</v>
      </c>
      <c r="M48" s="13">
        <v>2.1</v>
      </c>
      <c r="N48" s="13">
        <v>21.2</v>
      </c>
      <c r="O48" s="14">
        <v>0.2</v>
      </c>
    </row>
    <row r="49" spans="1:15" ht="16.5" thickBot="1" x14ac:dyDescent="0.3">
      <c r="A49" s="23"/>
      <c r="B49" s="24" t="s">
        <v>92</v>
      </c>
      <c r="C49" s="25">
        <v>25</v>
      </c>
      <c r="D49" s="13">
        <v>1.3</v>
      </c>
      <c r="E49" s="13">
        <v>0.2</v>
      </c>
      <c r="F49" s="13">
        <v>8.1999999999999993</v>
      </c>
      <c r="G49" s="13">
        <f t="shared" si="8"/>
        <v>39.799999999999997</v>
      </c>
      <c r="H49" s="13">
        <v>2.1999999999999999E-2</v>
      </c>
      <c r="I49" s="13">
        <v>0.01</v>
      </c>
      <c r="J49" s="13">
        <v>0</v>
      </c>
      <c r="K49" s="13">
        <v>0</v>
      </c>
      <c r="L49" s="13">
        <v>5</v>
      </c>
      <c r="M49" s="13">
        <v>2.8</v>
      </c>
      <c r="N49" s="13">
        <v>13</v>
      </c>
      <c r="O49" s="14">
        <v>0.22</v>
      </c>
    </row>
    <row r="50" spans="1:15" ht="16.5" thickBot="1" x14ac:dyDescent="0.3">
      <c r="A50" s="90" t="s">
        <v>20</v>
      </c>
      <c r="B50" s="91"/>
      <c r="C50" s="9">
        <f>SUM(C43:C49)</f>
        <v>780</v>
      </c>
      <c r="D50" s="9">
        <f>SUM(D43:D49)</f>
        <v>23.8</v>
      </c>
      <c r="E50" s="9">
        <f t="shared" ref="E50" si="9">SUM(E43:E49)</f>
        <v>28.11</v>
      </c>
      <c r="F50" s="9">
        <f t="shared" ref="F50" si="10">SUM(F43:F49)</f>
        <v>140.16999999999999</v>
      </c>
      <c r="G50" s="9">
        <f>SUM(G43:G49)</f>
        <v>908.87</v>
      </c>
      <c r="H50" s="9">
        <f t="shared" ref="H50" si="11">SUM(H43:H49)</f>
        <v>0.32400000000000001</v>
      </c>
      <c r="I50" s="9">
        <f t="shared" ref="I50" si="12">SUM(I43:I49)</f>
        <v>0.95400000000000007</v>
      </c>
      <c r="J50" s="9">
        <f t="shared" ref="J50" si="13">SUM(J43:J49)</f>
        <v>20.594999999999999</v>
      </c>
      <c r="K50" s="9">
        <f t="shared" ref="K50" si="14">SUM(K43:K49)</f>
        <v>217.17</v>
      </c>
      <c r="L50" s="9">
        <f t="shared" ref="L50" si="15">SUM(L43:L49)</f>
        <v>258.18</v>
      </c>
      <c r="M50" s="9">
        <f t="shared" ref="M50" si="16">SUM(M43:M49)</f>
        <v>106.1</v>
      </c>
      <c r="N50" s="9">
        <f t="shared" ref="N50" si="17">SUM(N43:N49)</f>
        <v>368.42</v>
      </c>
      <c r="O50" s="10">
        <f t="shared" ref="O50" si="18">SUM(O43:O49)</f>
        <v>5.9780000000000006</v>
      </c>
    </row>
    <row r="51" spans="1:15" ht="15.75" x14ac:dyDescent="0.25">
      <c r="A51" s="95" t="s">
        <v>22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x14ac:dyDescent="0.25">
      <c r="A52" s="11"/>
      <c r="B52" s="12" t="s">
        <v>215</v>
      </c>
      <c r="C52" s="13">
        <v>70</v>
      </c>
      <c r="D52" s="13">
        <v>5.73</v>
      </c>
      <c r="E52" s="13">
        <v>8.25</v>
      </c>
      <c r="F52" s="13">
        <v>21.23</v>
      </c>
      <c r="G52" s="13">
        <f>4*(D52+F52)+(9*E52)</f>
        <v>182.09</v>
      </c>
      <c r="H52" s="13">
        <v>5.1999999999999998E-2</v>
      </c>
      <c r="I52" s="13">
        <v>0.01</v>
      </c>
      <c r="J52" s="13">
        <v>0</v>
      </c>
      <c r="K52" s="13">
        <v>14.78</v>
      </c>
      <c r="L52" s="13">
        <v>29</v>
      </c>
      <c r="M52" s="13">
        <v>13</v>
      </c>
      <c r="N52" s="13">
        <v>63</v>
      </c>
      <c r="O52" s="14">
        <v>1</v>
      </c>
    </row>
    <row r="53" spans="1:15" s="1" customFormat="1" ht="15.75" x14ac:dyDescent="0.25">
      <c r="A53" s="23"/>
      <c r="B53" s="24" t="s">
        <v>216</v>
      </c>
      <c r="C53" s="25">
        <v>20</v>
      </c>
      <c r="D53" s="25">
        <v>0.1</v>
      </c>
      <c r="E53" s="25">
        <v>0</v>
      </c>
      <c r="F53" s="25">
        <v>19.5</v>
      </c>
      <c r="G53" s="13">
        <f>4*(D53+F53)+(9*E53)</f>
        <v>78.400000000000006</v>
      </c>
      <c r="H53" s="25">
        <v>0</v>
      </c>
      <c r="I53" s="25">
        <v>0.01</v>
      </c>
      <c r="J53" s="25">
        <v>0.2</v>
      </c>
      <c r="K53" s="25">
        <v>0</v>
      </c>
      <c r="L53" s="25">
        <v>28</v>
      </c>
      <c r="M53" s="25">
        <v>6</v>
      </c>
      <c r="N53" s="25">
        <v>13</v>
      </c>
      <c r="O53" s="26">
        <v>0.4</v>
      </c>
    </row>
    <row r="54" spans="1:15" ht="16.5" thickBot="1" x14ac:dyDescent="0.3">
      <c r="A54" s="23"/>
      <c r="B54" s="24" t="s">
        <v>84</v>
      </c>
      <c r="C54" s="25">
        <v>200</v>
      </c>
      <c r="D54" s="25">
        <v>5.6</v>
      </c>
      <c r="E54" s="25">
        <v>5</v>
      </c>
      <c r="F54" s="25">
        <v>18.989999999999998</v>
      </c>
      <c r="G54" s="13">
        <f>4*(D54+F54)+(9*E54)</f>
        <v>143.35999999999999</v>
      </c>
      <c r="H54" s="25">
        <v>0.06</v>
      </c>
      <c r="I54" s="25">
        <v>0.02</v>
      </c>
      <c r="J54" s="25">
        <v>0.01</v>
      </c>
      <c r="K54" s="25">
        <v>1.2</v>
      </c>
      <c r="L54" s="25">
        <v>148</v>
      </c>
      <c r="M54" s="25">
        <v>30</v>
      </c>
      <c r="N54" s="25">
        <v>190</v>
      </c>
      <c r="O54" s="26">
        <v>0.2</v>
      </c>
    </row>
    <row r="55" spans="1:15" ht="16.5" thickBot="1" x14ac:dyDescent="0.3">
      <c r="A55" s="90" t="s">
        <v>20</v>
      </c>
      <c r="B55" s="91"/>
      <c r="C55" s="27">
        <f>SUM(C52:C54)</f>
        <v>290</v>
      </c>
      <c r="D55" s="9">
        <f>SUM(D52:D54)</f>
        <v>11.43</v>
      </c>
      <c r="E55" s="9">
        <f t="shared" ref="E55" si="19">SUM(E52:E54)</f>
        <v>13.25</v>
      </c>
      <c r="F55" s="9">
        <f t="shared" ref="F55" si="20">SUM(F52:F54)</f>
        <v>59.72</v>
      </c>
      <c r="G55" s="9">
        <f t="shared" ref="G55" si="21">SUM(G52:G54)</f>
        <v>403.85</v>
      </c>
      <c r="H55" s="9">
        <f t="shared" ref="H55" si="22">SUM(H52:H54)</f>
        <v>0.11199999999999999</v>
      </c>
      <c r="I55" s="9">
        <f t="shared" ref="I55" si="23">SUM(I52:I54)</f>
        <v>0.04</v>
      </c>
      <c r="J55" s="9">
        <f t="shared" ref="J55" si="24">SUM(J52:J54)</f>
        <v>0.21000000000000002</v>
      </c>
      <c r="K55" s="9">
        <f t="shared" ref="K55" si="25">SUM(K52:K54)</f>
        <v>15.979999999999999</v>
      </c>
      <c r="L55" s="9">
        <f t="shared" ref="L55" si="26">SUM(L52:L54)</f>
        <v>205</v>
      </c>
      <c r="M55" s="9">
        <f t="shared" ref="M55" si="27">SUM(M52:M54)</f>
        <v>49</v>
      </c>
      <c r="N55" s="9">
        <f t="shared" ref="N55" si="28">SUM(N52:N54)</f>
        <v>266</v>
      </c>
      <c r="O55" s="10">
        <f t="shared" ref="O55" si="29">SUM(O52:O54)</f>
        <v>1.5999999999999999</v>
      </c>
    </row>
    <row r="56" spans="1:15" ht="16.5" thickBot="1" x14ac:dyDescent="0.3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30"/>
    </row>
    <row r="57" spans="1:15" ht="16.5" thickBot="1" x14ac:dyDescent="0.3">
      <c r="A57" s="90" t="s">
        <v>26</v>
      </c>
      <c r="B57" s="91"/>
      <c r="C57" s="9">
        <f>C55+C50+C41</f>
        <v>1545</v>
      </c>
      <c r="D57" s="31">
        <f t="shared" ref="D57:F57" si="30">D55+D50+D41</f>
        <v>58.680000000000007</v>
      </c>
      <c r="E57" s="31">
        <f t="shared" si="30"/>
        <v>59.78</v>
      </c>
      <c r="F57" s="31">
        <f t="shared" si="30"/>
        <v>250.70999999999998</v>
      </c>
      <c r="G57" s="31">
        <f>G55+G50+G41</f>
        <v>1775.58</v>
      </c>
      <c r="H57" s="9">
        <f t="shared" ref="H57:O57" si="31">H55+H50+H41</f>
        <v>0.8580000000000001</v>
      </c>
      <c r="I57" s="9">
        <f t="shared" si="31"/>
        <v>1.0330000000000001</v>
      </c>
      <c r="J57" s="9">
        <f t="shared" si="31"/>
        <v>44.825000000000003</v>
      </c>
      <c r="K57" s="9">
        <f t="shared" si="31"/>
        <v>525.84999999999991</v>
      </c>
      <c r="L57" s="9">
        <f t="shared" si="31"/>
        <v>821.88</v>
      </c>
      <c r="M57" s="9">
        <f t="shared" si="31"/>
        <v>187.22</v>
      </c>
      <c r="N57" s="9">
        <f t="shared" si="31"/>
        <v>826.5200000000001</v>
      </c>
      <c r="O57" s="10">
        <f t="shared" si="31"/>
        <v>9.2580000000000009</v>
      </c>
    </row>
    <row r="58" spans="1:15" s="1" customFormat="1" ht="15.75" x14ac:dyDescent="0.25">
      <c r="A58" s="32"/>
      <c r="B58" s="32"/>
      <c r="C58" s="34"/>
      <c r="D58" s="33"/>
      <c r="E58" s="33"/>
      <c r="F58" s="33"/>
      <c r="G58" s="33"/>
      <c r="H58" s="34"/>
      <c r="I58" s="34"/>
      <c r="J58" s="34"/>
      <c r="K58" s="34"/>
      <c r="L58" s="34"/>
      <c r="M58" s="34"/>
      <c r="N58" s="34"/>
      <c r="O58" s="34"/>
    </row>
    <row r="59" spans="1:15" s="1" customFormat="1" x14ac:dyDescent="0.25">
      <c r="A59" s="87" t="s">
        <v>209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</row>
    <row r="60" spans="1:15" s="1" customFormat="1" ht="15.75" x14ac:dyDescent="0.25">
      <c r="A60" s="32"/>
      <c r="B60" s="32"/>
      <c r="C60" s="34"/>
      <c r="D60" s="33"/>
      <c r="E60" s="33"/>
      <c r="F60" s="33"/>
      <c r="G60" s="33"/>
      <c r="H60" s="34"/>
      <c r="I60" s="34"/>
      <c r="J60" s="34"/>
      <c r="K60" s="34"/>
      <c r="L60" s="34"/>
      <c r="M60" s="34"/>
      <c r="N60" s="34"/>
      <c r="O60" s="34"/>
    </row>
    <row r="61" spans="1:15" s="1" customFormat="1" x14ac:dyDescent="0.25">
      <c r="A61" s="88" t="s">
        <v>208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</row>
    <row r="62" spans="1:15" s="1" customFormat="1" ht="15.75" x14ac:dyDescent="0.25">
      <c r="A62" s="32"/>
      <c r="B62" s="32"/>
      <c r="C62" s="34"/>
      <c r="D62" s="33"/>
      <c r="E62" s="33"/>
      <c r="F62" s="33"/>
      <c r="G62" s="33"/>
      <c r="H62" s="34"/>
      <c r="I62" s="34"/>
      <c r="J62" s="34"/>
      <c r="K62" s="34"/>
      <c r="L62" s="34"/>
      <c r="M62" s="34"/>
      <c r="N62" s="34"/>
      <c r="O62" s="34"/>
    </row>
    <row r="63" spans="1:15" s="1" customFormat="1" ht="16.5" thickBot="1" x14ac:dyDescent="0.3">
      <c r="A63" s="32"/>
      <c r="B63" s="32"/>
      <c r="C63" s="34"/>
      <c r="D63" s="33"/>
      <c r="E63" s="33"/>
      <c r="F63" s="33"/>
      <c r="G63" s="33"/>
      <c r="H63" s="34"/>
      <c r="I63" s="34"/>
      <c r="J63" s="34"/>
      <c r="K63" s="34"/>
      <c r="L63" s="34"/>
      <c r="M63" s="34"/>
      <c r="N63" s="34"/>
      <c r="O63" s="34"/>
    </row>
    <row r="64" spans="1:15" s="1" customFormat="1" ht="15" customHeight="1" x14ac:dyDescent="0.25">
      <c r="A64" s="98" t="s">
        <v>0</v>
      </c>
      <c r="B64" s="100" t="s">
        <v>1</v>
      </c>
      <c r="C64" s="102" t="s">
        <v>2</v>
      </c>
      <c r="D64" s="104" t="s">
        <v>3</v>
      </c>
      <c r="E64" s="105"/>
      <c r="F64" s="106"/>
      <c r="G64" s="102" t="s">
        <v>4</v>
      </c>
      <c r="H64" s="107" t="s">
        <v>5</v>
      </c>
      <c r="I64" s="107"/>
      <c r="J64" s="107"/>
      <c r="K64" s="107"/>
      <c r="L64" s="108" t="s">
        <v>6</v>
      </c>
      <c r="M64" s="109"/>
      <c r="N64" s="109"/>
      <c r="O64" s="110"/>
    </row>
    <row r="65" spans="1:15" ht="48" customHeight="1" thickBot="1" x14ac:dyDescent="0.3">
      <c r="A65" s="99"/>
      <c r="B65" s="101"/>
      <c r="C65" s="103"/>
      <c r="D65" s="35" t="s">
        <v>7</v>
      </c>
      <c r="E65" s="35" t="s">
        <v>8</v>
      </c>
      <c r="F65" s="35" t="s">
        <v>9</v>
      </c>
      <c r="G65" s="103"/>
      <c r="H65" s="36" t="s">
        <v>10</v>
      </c>
      <c r="I65" s="36" t="s">
        <v>16</v>
      </c>
      <c r="J65" s="36" t="s">
        <v>11</v>
      </c>
      <c r="K65" s="36" t="s">
        <v>17</v>
      </c>
      <c r="L65" s="37" t="s">
        <v>12</v>
      </c>
      <c r="M65" s="36" t="s">
        <v>13</v>
      </c>
      <c r="N65" s="36" t="s">
        <v>14</v>
      </c>
      <c r="O65" s="38" t="s">
        <v>15</v>
      </c>
    </row>
    <row r="66" spans="1:15" ht="15.75" x14ac:dyDescent="0.25">
      <c r="A66" s="84" t="s">
        <v>25</v>
      </c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6"/>
    </row>
    <row r="67" spans="1:15" ht="15.75" x14ac:dyDescent="0.25">
      <c r="A67" s="92" t="s">
        <v>19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4"/>
    </row>
    <row r="68" spans="1:15" ht="15.75" x14ac:dyDescent="0.25">
      <c r="A68" s="11" t="s">
        <v>211</v>
      </c>
      <c r="B68" s="12" t="s">
        <v>217</v>
      </c>
      <c r="C68" s="13">
        <v>100</v>
      </c>
      <c r="D68" s="13">
        <v>11.89</v>
      </c>
      <c r="E68" s="13">
        <v>11.91</v>
      </c>
      <c r="F68" s="13">
        <v>14.67</v>
      </c>
      <c r="G68" s="13">
        <f>4*(D68+F68)+(9*E68)</f>
        <v>213.43</v>
      </c>
      <c r="H68" s="13">
        <v>4.3999999999999997E-2</v>
      </c>
      <c r="I68" s="13">
        <v>1.35E-2</v>
      </c>
      <c r="J68" s="13">
        <v>7.9</v>
      </c>
      <c r="K68" s="13">
        <v>167.13</v>
      </c>
      <c r="L68" s="13">
        <v>156.1</v>
      </c>
      <c r="M68" s="13">
        <v>16.2</v>
      </c>
      <c r="N68" s="13">
        <v>143.61000000000001</v>
      </c>
      <c r="O68" s="14">
        <v>0.7</v>
      </c>
    </row>
    <row r="69" spans="1:15" ht="15.75" x14ac:dyDescent="0.25">
      <c r="A69" s="44" t="s">
        <v>104</v>
      </c>
      <c r="B69" s="12" t="s">
        <v>218</v>
      </c>
      <c r="C69" s="13">
        <v>150</v>
      </c>
      <c r="D69" s="13">
        <v>5.3</v>
      </c>
      <c r="E69" s="13">
        <v>6.2</v>
      </c>
      <c r="F69" s="13">
        <v>35.299999999999997</v>
      </c>
      <c r="G69" s="13">
        <f t="shared" ref="G69:G72" si="32">4*(D69+F69)+(9*E69)</f>
        <v>218.2</v>
      </c>
      <c r="H69" s="13">
        <v>0</v>
      </c>
      <c r="I69" s="13">
        <v>1.7999999999999999E-2</v>
      </c>
      <c r="J69" s="13">
        <v>0</v>
      </c>
      <c r="K69" s="13">
        <v>0</v>
      </c>
      <c r="L69" s="13">
        <v>95.35</v>
      </c>
      <c r="M69" s="13">
        <v>8.4</v>
      </c>
      <c r="N69" s="13">
        <v>8.24</v>
      </c>
      <c r="O69" s="14">
        <v>0.86</v>
      </c>
    </row>
    <row r="70" spans="1:15" ht="15.75" x14ac:dyDescent="0.25">
      <c r="A70" s="11" t="s">
        <v>114</v>
      </c>
      <c r="B70" s="12" t="s">
        <v>84</v>
      </c>
      <c r="C70" s="13">
        <v>200</v>
      </c>
      <c r="D70" s="13">
        <v>0.05</v>
      </c>
      <c r="E70" s="13">
        <v>0.02</v>
      </c>
      <c r="F70" s="13">
        <v>9.32</v>
      </c>
      <c r="G70" s="13">
        <f t="shared" si="32"/>
        <v>37.660000000000004</v>
      </c>
      <c r="H70" s="13">
        <v>0</v>
      </c>
      <c r="I70" s="13">
        <v>0</v>
      </c>
      <c r="J70" s="13">
        <v>0.02</v>
      </c>
      <c r="K70" s="13">
        <v>0</v>
      </c>
      <c r="L70" s="13">
        <v>8</v>
      </c>
      <c r="M70" s="13">
        <v>0.9</v>
      </c>
      <c r="N70" s="13">
        <v>1.6</v>
      </c>
      <c r="O70" s="14">
        <v>0.19</v>
      </c>
    </row>
    <row r="71" spans="1:15" ht="15.75" x14ac:dyDescent="0.25">
      <c r="A71" s="11"/>
      <c r="B71" s="12" t="s">
        <v>86</v>
      </c>
      <c r="C71" s="13">
        <v>25</v>
      </c>
      <c r="D71" s="13">
        <v>1.6</v>
      </c>
      <c r="E71" s="13">
        <v>0.2</v>
      </c>
      <c r="F71" s="13">
        <v>10.4</v>
      </c>
      <c r="G71" s="13">
        <f t="shared" si="32"/>
        <v>49.8</v>
      </c>
      <c r="H71" s="13">
        <v>2.1999999999999999E-2</v>
      </c>
      <c r="I71" s="13">
        <v>0.01</v>
      </c>
      <c r="J71" s="13">
        <v>0</v>
      </c>
      <c r="K71" s="13">
        <v>0</v>
      </c>
      <c r="L71" s="13">
        <v>4.5999999999999996</v>
      </c>
      <c r="M71" s="13">
        <v>2.1</v>
      </c>
      <c r="N71" s="13">
        <v>21.2</v>
      </c>
      <c r="O71" s="14">
        <v>0.2</v>
      </c>
    </row>
    <row r="72" spans="1:15" ht="16.5" thickBot="1" x14ac:dyDescent="0.3">
      <c r="A72" s="23"/>
      <c r="B72" s="24" t="s">
        <v>92</v>
      </c>
      <c r="C72" s="25">
        <v>25</v>
      </c>
      <c r="D72" s="13">
        <v>1.3</v>
      </c>
      <c r="E72" s="13">
        <v>0.2</v>
      </c>
      <c r="F72" s="13">
        <v>8.1999999999999993</v>
      </c>
      <c r="G72" s="13">
        <f t="shared" si="32"/>
        <v>39.799999999999997</v>
      </c>
      <c r="H72" s="13">
        <v>2.1999999999999999E-2</v>
      </c>
      <c r="I72" s="13">
        <v>0.01</v>
      </c>
      <c r="J72" s="13">
        <v>0</v>
      </c>
      <c r="K72" s="13">
        <v>0</v>
      </c>
      <c r="L72" s="13">
        <v>5</v>
      </c>
      <c r="M72" s="13">
        <v>2.8</v>
      </c>
      <c r="N72" s="13">
        <v>13</v>
      </c>
      <c r="O72" s="14">
        <v>0.22</v>
      </c>
    </row>
    <row r="73" spans="1:15" ht="16.5" thickBot="1" x14ac:dyDescent="0.3">
      <c r="A73" s="90" t="s">
        <v>20</v>
      </c>
      <c r="B73" s="91"/>
      <c r="C73" s="9">
        <f t="shared" ref="C73:O73" si="33">SUM(C68:C72)</f>
        <v>500</v>
      </c>
      <c r="D73" s="9">
        <f t="shared" si="33"/>
        <v>20.140000000000004</v>
      </c>
      <c r="E73" s="9">
        <f t="shared" si="33"/>
        <v>18.529999999999998</v>
      </c>
      <c r="F73" s="9">
        <f t="shared" si="33"/>
        <v>77.89</v>
      </c>
      <c r="G73" s="9">
        <f t="shared" si="33"/>
        <v>558.89</v>
      </c>
      <c r="H73" s="9">
        <f t="shared" si="33"/>
        <v>8.7999999999999995E-2</v>
      </c>
      <c r="I73" s="9">
        <f t="shared" si="33"/>
        <v>5.1500000000000004E-2</v>
      </c>
      <c r="J73" s="9">
        <f t="shared" si="33"/>
        <v>7.92</v>
      </c>
      <c r="K73" s="9">
        <f t="shared" si="33"/>
        <v>167.13</v>
      </c>
      <c r="L73" s="9">
        <f t="shared" si="33"/>
        <v>269.05</v>
      </c>
      <c r="M73" s="9">
        <f t="shared" si="33"/>
        <v>30.400000000000002</v>
      </c>
      <c r="N73" s="9">
        <f t="shared" si="33"/>
        <v>187.65</v>
      </c>
      <c r="O73" s="10">
        <f t="shared" si="33"/>
        <v>2.17</v>
      </c>
    </row>
    <row r="74" spans="1:15" ht="15.75" x14ac:dyDescent="0.25">
      <c r="A74" s="95" t="s">
        <v>21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5" ht="15.75" x14ac:dyDescent="0.25">
      <c r="A75" s="11" t="s">
        <v>115</v>
      </c>
      <c r="B75" s="12" t="s">
        <v>248</v>
      </c>
      <c r="C75" s="13">
        <v>270</v>
      </c>
      <c r="D75" s="13">
        <v>13.08</v>
      </c>
      <c r="E75" s="13">
        <v>14.17</v>
      </c>
      <c r="F75" s="13">
        <v>30.62</v>
      </c>
      <c r="G75" s="13">
        <f>4*(D75+F75)+(9*E75)</f>
        <v>302.33000000000004</v>
      </c>
      <c r="H75" s="13">
        <v>0.36</v>
      </c>
      <c r="I75" s="13">
        <v>3.2000000000000001E-2</v>
      </c>
      <c r="J75" s="13">
        <v>11</v>
      </c>
      <c r="K75" s="13">
        <v>139.19999999999999</v>
      </c>
      <c r="L75" s="13">
        <v>146.01</v>
      </c>
      <c r="M75" s="13">
        <v>47.63</v>
      </c>
      <c r="N75" s="13">
        <v>236.52</v>
      </c>
      <c r="O75" s="14">
        <v>4.01</v>
      </c>
    </row>
    <row r="76" spans="1:15" ht="15.75" x14ac:dyDescent="0.25">
      <c r="A76" s="11" t="s">
        <v>231</v>
      </c>
      <c r="B76" s="12" t="s">
        <v>230</v>
      </c>
      <c r="C76" s="13">
        <v>90</v>
      </c>
      <c r="D76" s="13">
        <v>15.7</v>
      </c>
      <c r="E76" s="13">
        <v>18.52</v>
      </c>
      <c r="F76" s="13">
        <v>37.19</v>
      </c>
      <c r="G76" s="13">
        <f t="shared" ref="G76:G80" si="34">4*(D76+F76)+(9*E76)</f>
        <v>378.24</v>
      </c>
      <c r="H76" s="13">
        <v>0.27</v>
      </c>
      <c r="I76" s="13">
        <v>0.13</v>
      </c>
      <c r="J76" s="13">
        <v>19.559999999999999</v>
      </c>
      <c r="K76" s="13">
        <v>150.4</v>
      </c>
      <c r="L76" s="13">
        <v>179.9</v>
      </c>
      <c r="M76" s="13">
        <v>24.2</v>
      </c>
      <c r="N76" s="13">
        <v>189.7</v>
      </c>
      <c r="O76" s="14">
        <v>1.0900000000000001</v>
      </c>
    </row>
    <row r="77" spans="1:15" ht="15.75" x14ac:dyDescent="0.25">
      <c r="A77" s="11"/>
      <c r="B77" s="40" t="s">
        <v>219</v>
      </c>
      <c r="C77" s="13">
        <v>150</v>
      </c>
      <c r="D77" s="13">
        <v>0.66</v>
      </c>
      <c r="E77" s="13">
        <v>3.2</v>
      </c>
      <c r="F77" s="13">
        <v>2.1</v>
      </c>
      <c r="G77" s="13">
        <f t="shared" si="34"/>
        <v>39.840000000000003</v>
      </c>
      <c r="H77" s="13">
        <v>3.5999999999999997E-2</v>
      </c>
      <c r="I77" s="13">
        <v>0.24</v>
      </c>
      <c r="J77" s="13">
        <v>2.15</v>
      </c>
      <c r="K77" s="13">
        <v>0</v>
      </c>
      <c r="L77" s="13">
        <v>16.399999999999999</v>
      </c>
      <c r="M77" s="13">
        <v>12</v>
      </c>
      <c r="N77" s="13">
        <v>23.6</v>
      </c>
      <c r="O77" s="14">
        <v>0.54</v>
      </c>
    </row>
    <row r="78" spans="1:15" ht="15.75" x14ac:dyDescent="0.25">
      <c r="A78" s="11" t="s">
        <v>112</v>
      </c>
      <c r="B78" s="12" t="s">
        <v>109</v>
      </c>
      <c r="C78" s="13">
        <v>180</v>
      </c>
      <c r="D78" s="13">
        <v>0.12</v>
      </c>
      <c r="E78" s="13">
        <v>0</v>
      </c>
      <c r="F78" s="13">
        <v>27.4</v>
      </c>
      <c r="G78" s="13">
        <f t="shared" si="34"/>
        <v>110.08</v>
      </c>
      <c r="H78" s="13">
        <v>0.02</v>
      </c>
      <c r="I78" s="13">
        <v>0.46</v>
      </c>
      <c r="J78" s="13">
        <v>0</v>
      </c>
      <c r="K78" s="13">
        <v>0.16</v>
      </c>
      <c r="L78" s="13">
        <v>12.6</v>
      </c>
      <c r="M78" s="13">
        <v>50.3</v>
      </c>
      <c r="N78" s="13">
        <v>8.9</v>
      </c>
      <c r="O78" s="14">
        <v>0.26100000000000001</v>
      </c>
    </row>
    <row r="79" spans="1:15" ht="15.75" x14ac:dyDescent="0.25">
      <c r="A79" s="11"/>
      <c r="B79" s="12" t="s">
        <v>86</v>
      </c>
      <c r="C79" s="13">
        <v>25</v>
      </c>
      <c r="D79" s="13">
        <v>1.6</v>
      </c>
      <c r="E79" s="13">
        <v>0.2</v>
      </c>
      <c r="F79" s="13">
        <v>10.4</v>
      </c>
      <c r="G79" s="13">
        <f t="shared" si="34"/>
        <v>49.8</v>
      </c>
      <c r="H79" s="13">
        <v>2.1999999999999999E-2</v>
      </c>
      <c r="I79" s="13">
        <v>0.01</v>
      </c>
      <c r="J79" s="13">
        <v>0</v>
      </c>
      <c r="K79" s="13">
        <v>0</v>
      </c>
      <c r="L79" s="13">
        <v>4.5999999999999996</v>
      </c>
      <c r="M79" s="13">
        <v>2.1</v>
      </c>
      <c r="N79" s="13">
        <v>21.2</v>
      </c>
      <c r="O79" s="14">
        <v>0.2</v>
      </c>
    </row>
    <row r="80" spans="1:15" ht="16.5" thickBot="1" x14ac:dyDescent="0.3">
      <c r="A80" s="11"/>
      <c r="B80" s="24" t="s">
        <v>92</v>
      </c>
      <c r="C80" s="25">
        <v>25</v>
      </c>
      <c r="D80" s="13">
        <v>1.3</v>
      </c>
      <c r="E80" s="13">
        <v>0.2</v>
      </c>
      <c r="F80" s="13">
        <v>8.1999999999999993</v>
      </c>
      <c r="G80" s="13">
        <f t="shared" si="34"/>
        <v>39.799999999999997</v>
      </c>
      <c r="H80" s="13">
        <v>2.1999999999999999E-2</v>
      </c>
      <c r="I80" s="13">
        <v>0.01</v>
      </c>
      <c r="J80" s="13">
        <v>0</v>
      </c>
      <c r="K80" s="13">
        <v>0</v>
      </c>
      <c r="L80" s="13">
        <v>5</v>
      </c>
      <c r="M80" s="13">
        <v>2.8</v>
      </c>
      <c r="N80" s="13">
        <v>13</v>
      </c>
      <c r="O80" s="14">
        <v>0.22</v>
      </c>
    </row>
    <row r="81" spans="1:15" ht="16.5" thickBot="1" x14ac:dyDescent="0.3">
      <c r="A81" s="90" t="s">
        <v>20</v>
      </c>
      <c r="B81" s="91"/>
      <c r="C81" s="9">
        <f>SUM(C75:C80)</f>
        <v>740</v>
      </c>
      <c r="D81" s="9">
        <f t="shared" ref="D81:O81" si="35">SUM(D75:D80)</f>
        <v>32.46</v>
      </c>
      <c r="E81" s="9">
        <f t="shared" si="35"/>
        <v>36.290000000000006</v>
      </c>
      <c r="F81" s="9">
        <f t="shared" si="35"/>
        <v>115.91000000000001</v>
      </c>
      <c r="G81" s="9">
        <f t="shared" si="35"/>
        <v>920.09</v>
      </c>
      <c r="H81" s="9">
        <f t="shared" si="35"/>
        <v>0.73000000000000009</v>
      </c>
      <c r="I81" s="9">
        <f t="shared" si="35"/>
        <v>0.88200000000000012</v>
      </c>
      <c r="J81" s="9">
        <f t="shared" si="35"/>
        <v>32.71</v>
      </c>
      <c r="K81" s="9">
        <f t="shared" si="35"/>
        <v>289.76000000000005</v>
      </c>
      <c r="L81" s="9">
        <f t="shared" si="35"/>
        <v>364.51</v>
      </c>
      <c r="M81" s="9">
        <f t="shared" si="35"/>
        <v>139.03</v>
      </c>
      <c r="N81" s="9">
        <f t="shared" si="35"/>
        <v>492.92</v>
      </c>
      <c r="O81" s="10">
        <f t="shared" si="35"/>
        <v>6.3209999999999997</v>
      </c>
    </row>
    <row r="82" spans="1:15" ht="15.75" x14ac:dyDescent="0.25">
      <c r="A82" s="95" t="s">
        <v>22</v>
      </c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x14ac:dyDescent="0.25">
      <c r="A83" s="11" t="s">
        <v>220</v>
      </c>
      <c r="B83" s="12" t="s">
        <v>170</v>
      </c>
      <c r="C83" s="13">
        <v>50</v>
      </c>
      <c r="D83" s="13">
        <v>4.2</v>
      </c>
      <c r="E83" s="13">
        <v>4.7</v>
      </c>
      <c r="F83" s="13">
        <v>32.15</v>
      </c>
      <c r="G83" s="13">
        <f>4*(D83+F83)+(9*E83)</f>
        <v>187.70000000000002</v>
      </c>
      <c r="H83" s="13">
        <v>2.5999999999999999E-2</v>
      </c>
      <c r="I83" s="13">
        <v>0.05</v>
      </c>
      <c r="J83" s="13">
        <v>4.5999999999999996</v>
      </c>
      <c r="K83" s="13">
        <v>52.3</v>
      </c>
      <c r="L83" s="13">
        <v>168.2</v>
      </c>
      <c r="M83" s="13">
        <v>4.5</v>
      </c>
      <c r="N83" s="13">
        <v>124.6</v>
      </c>
      <c r="O83" s="14">
        <v>6.2E-2</v>
      </c>
    </row>
    <row r="84" spans="1:15" s="1" customFormat="1" ht="15.75" x14ac:dyDescent="0.25">
      <c r="A84" s="23"/>
      <c r="B84" s="24" t="s">
        <v>110</v>
      </c>
      <c r="C84" s="25">
        <v>100</v>
      </c>
      <c r="D84" s="25">
        <v>0.3</v>
      </c>
      <c r="E84" s="25">
        <v>0</v>
      </c>
      <c r="F84" s="25">
        <v>8.6</v>
      </c>
      <c r="G84" s="13">
        <f t="shared" ref="G84:G85" si="36">4*(D84+F84)+(9*E84)</f>
        <v>35.6</v>
      </c>
      <c r="H84" s="25">
        <v>0.03</v>
      </c>
      <c r="I84" s="25">
        <v>0.03</v>
      </c>
      <c r="J84" s="25">
        <v>0.01</v>
      </c>
      <c r="K84" s="25">
        <v>16</v>
      </c>
      <c r="L84" s="25">
        <v>16</v>
      </c>
      <c r="M84" s="25">
        <v>9</v>
      </c>
      <c r="N84" s="25">
        <v>11</v>
      </c>
      <c r="O84" s="26">
        <v>0.66</v>
      </c>
    </row>
    <row r="85" spans="1:15" ht="16.5" thickBot="1" x14ac:dyDescent="0.3">
      <c r="A85" s="23" t="s">
        <v>114</v>
      </c>
      <c r="B85" s="24" t="s">
        <v>111</v>
      </c>
      <c r="C85" s="25">
        <v>205</v>
      </c>
      <c r="D85" s="25">
        <v>7.0000000000000007E-2</v>
      </c>
      <c r="E85" s="25">
        <v>0.02</v>
      </c>
      <c r="F85" s="25">
        <v>16.89</v>
      </c>
      <c r="G85" s="13">
        <f t="shared" si="36"/>
        <v>68.02000000000001</v>
      </c>
      <c r="H85" s="25">
        <v>2.8000000000000001E-2</v>
      </c>
      <c r="I85" s="25">
        <v>0.04</v>
      </c>
      <c r="J85" s="25">
        <v>0</v>
      </c>
      <c r="K85" s="25">
        <v>0</v>
      </c>
      <c r="L85" s="25">
        <v>8.0500000000000007</v>
      </c>
      <c r="M85" s="25">
        <v>5.24</v>
      </c>
      <c r="N85" s="25">
        <v>9.7799999999999994</v>
      </c>
      <c r="O85" s="26">
        <v>0.19</v>
      </c>
    </row>
    <row r="86" spans="1:15" ht="16.5" thickBot="1" x14ac:dyDescent="0.3">
      <c r="A86" s="90" t="s">
        <v>20</v>
      </c>
      <c r="B86" s="91"/>
      <c r="C86" s="9">
        <f>SUM(C83:C85)</f>
        <v>355</v>
      </c>
      <c r="D86" s="9">
        <f>SUM(D83:D85)</f>
        <v>4.57</v>
      </c>
      <c r="E86" s="9">
        <f t="shared" ref="E86" si="37">SUM(E83:E85)</f>
        <v>4.72</v>
      </c>
      <c r="F86" s="9">
        <f t="shared" ref="F86" si="38">SUM(F83:F85)</f>
        <v>57.64</v>
      </c>
      <c r="G86" s="9">
        <f t="shared" ref="G86" si="39">SUM(G83:G85)</f>
        <v>291.32000000000005</v>
      </c>
      <c r="H86" s="9">
        <f t="shared" ref="H86" si="40">SUM(H83:H85)</f>
        <v>8.3999999999999991E-2</v>
      </c>
      <c r="I86" s="9">
        <f t="shared" ref="I86" si="41">SUM(I83:I85)</f>
        <v>0.12</v>
      </c>
      <c r="J86" s="9">
        <f t="shared" ref="J86" si="42">SUM(J83:J85)</f>
        <v>4.6099999999999994</v>
      </c>
      <c r="K86" s="9">
        <f t="shared" ref="K86" si="43">SUM(K83:K85)</f>
        <v>68.3</v>
      </c>
      <c r="L86" s="9">
        <f t="shared" ref="L86" si="44">SUM(L83:L85)</f>
        <v>192.25</v>
      </c>
      <c r="M86" s="9">
        <f t="shared" ref="M86" si="45">SUM(M83:M85)</f>
        <v>18.740000000000002</v>
      </c>
      <c r="N86" s="9">
        <f t="shared" ref="N86" si="46">SUM(N83:N85)</f>
        <v>145.38</v>
      </c>
      <c r="O86" s="10">
        <f t="shared" ref="O86" si="47">SUM(O83:O85)</f>
        <v>0.91199999999999992</v>
      </c>
    </row>
    <row r="87" spans="1:15" ht="16.5" thickBot="1" x14ac:dyDescent="0.3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30"/>
    </row>
    <row r="88" spans="1:15" ht="16.5" thickBot="1" x14ac:dyDescent="0.3">
      <c r="A88" s="90" t="s">
        <v>27</v>
      </c>
      <c r="B88" s="91"/>
      <c r="C88" s="9">
        <f t="shared" ref="C88:O88" si="48">C86+C81+C73</f>
        <v>1595</v>
      </c>
      <c r="D88" s="31">
        <f t="shared" si="48"/>
        <v>57.17</v>
      </c>
      <c r="E88" s="31">
        <f t="shared" si="48"/>
        <v>59.540000000000006</v>
      </c>
      <c r="F88" s="31">
        <f t="shared" si="48"/>
        <v>251.44</v>
      </c>
      <c r="G88" s="31">
        <f t="shared" si="48"/>
        <v>1770.3000000000002</v>
      </c>
      <c r="H88" s="9">
        <f t="shared" si="48"/>
        <v>0.90200000000000002</v>
      </c>
      <c r="I88" s="9">
        <f>I86+I81+I73</f>
        <v>1.0535000000000003</v>
      </c>
      <c r="J88" s="9">
        <f t="shared" si="48"/>
        <v>45.24</v>
      </c>
      <c r="K88" s="9">
        <f t="shared" si="48"/>
        <v>525.19000000000005</v>
      </c>
      <c r="L88" s="9">
        <f t="shared" si="48"/>
        <v>825.81</v>
      </c>
      <c r="M88" s="9">
        <f t="shared" si="48"/>
        <v>188.17000000000002</v>
      </c>
      <c r="N88" s="9">
        <f t="shared" si="48"/>
        <v>825.94999999999993</v>
      </c>
      <c r="O88" s="10">
        <f t="shared" si="48"/>
        <v>9.4029999999999987</v>
      </c>
    </row>
    <row r="89" spans="1:15" s="1" customFormat="1" ht="15.75" x14ac:dyDescent="0.25">
      <c r="A89" s="32"/>
      <c r="B89" s="32"/>
      <c r="C89" s="34"/>
      <c r="D89" s="33"/>
      <c r="E89" s="33"/>
      <c r="F89" s="33"/>
      <c r="G89" s="33"/>
      <c r="H89" s="34"/>
      <c r="I89" s="34"/>
      <c r="J89" s="34"/>
      <c r="K89" s="34"/>
      <c r="L89" s="34"/>
      <c r="M89" s="34"/>
      <c r="N89" s="34"/>
      <c r="O89" s="34"/>
    </row>
    <row r="90" spans="1:15" s="1" customFormat="1" x14ac:dyDescent="0.25">
      <c r="A90" s="87" t="s">
        <v>209</v>
      </c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</row>
    <row r="91" spans="1:15" s="1" customFormat="1" ht="15.75" x14ac:dyDescent="0.25">
      <c r="A91" s="32"/>
      <c r="B91" s="32"/>
      <c r="C91" s="34"/>
      <c r="D91" s="33"/>
      <c r="E91" s="33"/>
      <c r="F91" s="33"/>
      <c r="G91" s="33"/>
      <c r="H91" s="34"/>
      <c r="I91" s="34"/>
      <c r="J91" s="34"/>
      <c r="K91" s="34"/>
      <c r="L91" s="34"/>
      <c r="M91" s="34"/>
      <c r="N91" s="34"/>
      <c r="O91" s="34"/>
    </row>
    <row r="92" spans="1:15" s="1" customFormat="1" x14ac:dyDescent="0.25">
      <c r="A92" s="88" t="s">
        <v>208</v>
      </c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</row>
    <row r="93" spans="1:15" s="1" customFormat="1" ht="15.75" x14ac:dyDescent="0.25">
      <c r="A93" s="32"/>
      <c r="B93" s="32"/>
      <c r="C93" s="34"/>
      <c r="D93" s="33"/>
      <c r="E93" s="33"/>
      <c r="F93" s="33"/>
      <c r="G93" s="33"/>
      <c r="H93" s="34"/>
      <c r="I93" s="34"/>
      <c r="J93" s="34"/>
      <c r="K93" s="34"/>
      <c r="L93" s="34"/>
      <c r="M93" s="34"/>
      <c r="N93" s="34"/>
      <c r="O93" s="34"/>
    </row>
    <row r="94" spans="1:15" s="1" customFormat="1" ht="16.5" thickBot="1" x14ac:dyDescent="0.3">
      <c r="A94" s="32"/>
      <c r="B94" s="32"/>
      <c r="C94" s="34"/>
      <c r="D94" s="33"/>
      <c r="E94" s="33"/>
      <c r="F94" s="33"/>
      <c r="G94" s="33"/>
      <c r="H94" s="34"/>
      <c r="I94" s="34"/>
      <c r="J94" s="34"/>
      <c r="K94" s="34"/>
      <c r="L94" s="34"/>
      <c r="M94" s="34"/>
      <c r="N94" s="34"/>
      <c r="O94" s="34"/>
    </row>
    <row r="95" spans="1:15" s="1" customFormat="1" ht="15" customHeight="1" x14ac:dyDescent="0.25">
      <c r="A95" s="98" t="s">
        <v>0</v>
      </c>
      <c r="B95" s="100" t="s">
        <v>1</v>
      </c>
      <c r="C95" s="102" t="s">
        <v>2</v>
      </c>
      <c r="D95" s="104" t="s">
        <v>3</v>
      </c>
      <c r="E95" s="105"/>
      <c r="F95" s="106"/>
      <c r="G95" s="102" t="s">
        <v>4</v>
      </c>
      <c r="H95" s="107" t="s">
        <v>5</v>
      </c>
      <c r="I95" s="107"/>
      <c r="J95" s="107"/>
      <c r="K95" s="107"/>
      <c r="L95" s="108" t="s">
        <v>6</v>
      </c>
      <c r="M95" s="109"/>
      <c r="N95" s="109"/>
      <c r="O95" s="110"/>
    </row>
    <row r="96" spans="1:15" ht="47.25" customHeight="1" thickBot="1" x14ac:dyDescent="0.3">
      <c r="A96" s="99"/>
      <c r="B96" s="101"/>
      <c r="C96" s="103"/>
      <c r="D96" s="35" t="s">
        <v>7</v>
      </c>
      <c r="E96" s="35" t="s">
        <v>8</v>
      </c>
      <c r="F96" s="35" t="s">
        <v>9</v>
      </c>
      <c r="G96" s="103"/>
      <c r="H96" s="36" t="s">
        <v>10</v>
      </c>
      <c r="I96" s="36" t="s">
        <v>16</v>
      </c>
      <c r="J96" s="36" t="s">
        <v>11</v>
      </c>
      <c r="K96" s="36" t="s">
        <v>17</v>
      </c>
      <c r="L96" s="37" t="s">
        <v>12</v>
      </c>
      <c r="M96" s="36" t="s">
        <v>13</v>
      </c>
      <c r="N96" s="36" t="s">
        <v>14</v>
      </c>
      <c r="O96" s="38" t="s">
        <v>15</v>
      </c>
    </row>
    <row r="97" spans="1:15" ht="15.75" x14ac:dyDescent="0.25">
      <c r="A97" s="84" t="s">
        <v>28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6"/>
    </row>
    <row r="98" spans="1:15" ht="15.75" x14ac:dyDescent="0.25">
      <c r="A98" s="92" t="s">
        <v>19</v>
      </c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4"/>
    </row>
    <row r="99" spans="1:15" ht="15.75" x14ac:dyDescent="0.25">
      <c r="A99" s="11" t="s">
        <v>124</v>
      </c>
      <c r="B99" s="12" t="s">
        <v>118</v>
      </c>
      <c r="C99" s="13">
        <v>200</v>
      </c>
      <c r="D99" s="13">
        <v>5.62</v>
      </c>
      <c r="E99" s="13">
        <v>7.84</v>
      </c>
      <c r="F99" s="13">
        <v>21.8</v>
      </c>
      <c r="G99" s="13">
        <f>4*(D99+F99)+(9*E99)</f>
        <v>180.24</v>
      </c>
      <c r="H99" s="13">
        <v>0.16</v>
      </c>
      <c r="I99" s="13">
        <v>1.6E-2</v>
      </c>
      <c r="J99" s="13">
        <v>0</v>
      </c>
      <c r="K99" s="13">
        <v>121.2</v>
      </c>
      <c r="L99" s="13">
        <v>114.3</v>
      </c>
      <c r="M99" s="13">
        <v>58.2</v>
      </c>
      <c r="N99" s="13">
        <v>126.1</v>
      </c>
      <c r="O99" s="14">
        <v>1.37</v>
      </c>
    </row>
    <row r="100" spans="1:15" ht="15.75" x14ac:dyDescent="0.25">
      <c r="A100" s="11"/>
      <c r="B100" s="12" t="s">
        <v>221</v>
      </c>
      <c r="C100" s="13">
        <v>75</v>
      </c>
      <c r="D100" s="13">
        <v>3.02</v>
      </c>
      <c r="E100" s="13">
        <v>11.28</v>
      </c>
      <c r="F100" s="13">
        <v>29.41</v>
      </c>
      <c r="G100" s="13">
        <f t="shared" ref="G100:G102" si="49">4*(D100+F100)+(9*E100)</f>
        <v>231.24</v>
      </c>
      <c r="H100" s="13">
        <v>0.03</v>
      </c>
      <c r="I100" s="13">
        <v>0.01</v>
      </c>
      <c r="J100" s="13">
        <v>1</v>
      </c>
      <c r="K100" s="13">
        <v>56.8</v>
      </c>
      <c r="L100" s="13">
        <v>102.4</v>
      </c>
      <c r="M100" s="13">
        <v>1</v>
      </c>
      <c r="N100" s="13">
        <v>118.7</v>
      </c>
      <c r="O100" s="14">
        <v>0.5</v>
      </c>
    </row>
    <row r="101" spans="1:15" ht="15.75" x14ac:dyDescent="0.25">
      <c r="A101" s="44">
        <v>944.20079999999996</v>
      </c>
      <c r="B101" s="12" t="s">
        <v>111</v>
      </c>
      <c r="C101" s="13">
        <v>215</v>
      </c>
      <c r="D101" s="13">
        <v>0.26</v>
      </c>
      <c r="E101" s="13">
        <v>0.12</v>
      </c>
      <c r="F101" s="13">
        <v>21.8</v>
      </c>
      <c r="G101" s="13">
        <f t="shared" si="49"/>
        <v>89.320000000000007</v>
      </c>
      <c r="H101" s="13">
        <v>0</v>
      </c>
      <c r="I101" s="13">
        <v>0.05</v>
      </c>
      <c r="J101" s="13">
        <v>20.399999999999999</v>
      </c>
      <c r="K101" s="13">
        <v>0</v>
      </c>
      <c r="L101" s="13">
        <v>19.2</v>
      </c>
      <c r="M101" s="13">
        <v>4.0999999999999996</v>
      </c>
      <c r="N101" s="13">
        <v>9.8000000000000007</v>
      </c>
      <c r="O101" s="14">
        <v>0.4</v>
      </c>
    </row>
    <row r="102" spans="1:15" ht="16.5" thickBot="1" x14ac:dyDescent="0.3">
      <c r="A102" s="11"/>
      <c r="B102" s="12" t="s">
        <v>86</v>
      </c>
      <c r="C102" s="13">
        <v>25</v>
      </c>
      <c r="D102" s="13">
        <v>3.2</v>
      </c>
      <c r="E102" s="13">
        <v>0.4</v>
      </c>
      <c r="F102" s="13">
        <v>20.8</v>
      </c>
      <c r="G102" s="13">
        <f t="shared" si="49"/>
        <v>99.6</v>
      </c>
      <c r="H102" s="13">
        <v>4.3999999999999997E-2</v>
      </c>
      <c r="I102" s="13">
        <v>0.02</v>
      </c>
      <c r="J102" s="13">
        <v>0</v>
      </c>
      <c r="K102" s="13">
        <v>0</v>
      </c>
      <c r="L102" s="13">
        <v>9.1999999999999993</v>
      </c>
      <c r="M102" s="13">
        <v>4.2</v>
      </c>
      <c r="N102" s="13">
        <v>42.4</v>
      </c>
      <c r="O102" s="14">
        <v>0.4</v>
      </c>
    </row>
    <row r="103" spans="1:15" ht="16.5" thickBot="1" x14ac:dyDescent="0.3">
      <c r="A103" s="90" t="s">
        <v>20</v>
      </c>
      <c r="B103" s="91"/>
      <c r="C103" s="9">
        <f>SUM(C99:C102)</f>
        <v>515</v>
      </c>
      <c r="D103" s="9">
        <f t="shared" ref="D103:O103" si="50">SUM(D99:D102)</f>
        <v>12.100000000000001</v>
      </c>
      <c r="E103" s="9">
        <f t="shared" si="50"/>
        <v>19.639999999999997</v>
      </c>
      <c r="F103" s="9">
        <f t="shared" si="50"/>
        <v>93.81</v>
      </c>
      <c r="G103" s="9">
        <f t="shared" si="50"/>
        <v>600.4</v>
      </c>
      <c r="H103" s="9">
        <f t="shared" si="50"/>
        <v>0.23399999999999999</v>
      </c>
      <c r="I103" s="9">
        <f t="shared" si="50"/>
        <v>9.6000000000000016E-2</v>
      </c>
      <c r="J103" s="9">
        <f t="shared" si="50"/>
        <v>21.4</v>
      </c>
      <c r="K103" s="9">
        <f t="shared" si="50"/>
        <v>178</v>
      </c>
      <c r="L103" s="9">
        <f t="shared" si="50"/>
        <v>245.09999999999997</v>
      </c>
      <c r="M103" s="9">
        <f t="shared" si="50"/>
        <v>67.5</v>
      </c>
      <c r="N103" s="9">
        <f t="shared" si="50"/>
        <v>297</v>
      </c>
      <c r="O103" s="10">
        <f t="shared" si="50"/>
        <v>2.67</v>
      </c>
    </row>
    <row r="104" spans="1:15" ht="15.75" x14ac:dyDescent="0.25">
      <c r="A104" s="95" t="s">
        <v>21</v>
      </c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7"/>
    </row>
    <row r="105" spans="1:15" ht="15.75" x14ac:dyDescent="0.25">
      <c r="A105" s="45" t="s">
        <v>125</v>
      </c>
      <c r="B105" s="46" t="s">
        <v>223</v>
      </c>
      <c r="C105" s="47">
        <v>260</v>
      </c>
      <c r="D105" s="47">
        <v>11.6</v>
      </c>
      <c r="E105" s="47">
        <v>11.65</v>
      </c>
      <c r="F105" s="47">
        <v>18.940000000000001</v>
      </c>
      <c r="G105" s="47">
        <f>4*(D105+F105)+(9*E105)</f>
        <v>227.01</v>
      </c>
      <c r="H105" s="47">
        <v>0.13</v>
      </c>
      <c r="I105" s="47">
        <v>4.9000000000000002E-2</v>
      </c>
      <c r="J105" s="47">
        <v>4</v>
      </c>
      <c r="K105" s="47">
        <v>84</v>
      </c>
      <c r="L105" s="47">
        <v>129.19999999999999</v>
      </c>
      <c r="M105" s="47">
        <v>58.9</v>
      </c>
      <c r="N105" s="47">
        <v>77.400000000000006</v>
      </c>
      <c r="O105" s="48">
        <v>1.04</v>
      </c>
    </row>
    <row r="106" spans="1:15" ht="15.75" x14ac:dyDescent="0.25">
      <c r="A106" s="11" t="s">
        <v>126</v>
      </c>
      <c r="B106" s="12" t="s">
        <v>222</v>
      </c>
      <c r="C106" s="13">
        <v>90</v>
      </c>
      <c r="D106" s="13">
        <v>14.89</v>
      </c>
      <c r="E106" s="13">
        <v>7.95</v>
      </c>
      <c r="F106" s="13">
        <v>25.6</v>
      </c>
      <c r="G106" s="13">
        <f t="shared" ref="G106:G110" si="51">4*(D106+F106)+(9*E106)</f>
        <v>233.51</v>
      </c>
      <c r="H106" s="13">
        <v>0.08</v>
      </c>
      <c r="I106" s="13">
        <v>0.6</v>
      </c>
      <c r="J106" s="13">
        <v>6</v>
      </c>
      <c r="K106" s="13">
        <v>91</v>
      </c>
      <c r="L106" s="13">
        <v>144.30000000000001</v>
      </c>
      <c r="M106" s="13">
        <v>19.3</v>
      </c>
      <c r="N106" s="13">
        <v>98.4</v>
      </c>
      <c r="O106" s="14">
        <v>2.0299999999999998</v>
      </c>
    </row>
    <row r="107" spans="1:15" ht="15.75" x14ac:dyDescent="0.25">
      <c r="A107" s="11" t="s">
        <v>190</v>
      </c>
      <c r="B107" s="12" t="s">
        <v>185</v>
      </c>
      <c r="C107" s="13">
        <v>150</v>
      </c>
      <c r="D107" s="13">
        <v>4.5599999999999996</v>
      </c>
      <c r="E107" s="13">
        <v>8.2200000000000006</v>
      </c>
      <c r="F107" s="13">
        <v>32.5</v>
      </c>
      <c r="G107" s="13">
        <f t="shared" si="51"/>
        <v>222.22000000000003</v>
      </c>
      <c r="H107" s="13">
        <v>0.08</v>
      </c>
      <c r="I107" s="13">
        <v>0.26</v>
      </c>
      <c r="J107" s="13">
        <v>6.06</v>
      </c>
      <c r="K107" s="13">
        <v>114</v>
      </c>
      <c r="L107" s="13">
        <v>143.30000000000001</v>
      </c>
      <c r="M107" s="13">
        <v>26.36</v>
      </c>
      <c r="N107" s="13">
        <v>155.69999999999999</v>
      </c>
      <c r="O107" s="14">
        <v>1.79</v>
      </c>
    </row>
    <row r="108" spans="1:15" ht="15.75" x14ac:dyDescent="0.25">
      <c r="A108" s="11" t="s">
        <v>105</v>
      </c>
      <c r="B108" s="12" t="s">
        <v>121</v>
      </c>
      <c r="C108" s="13">
        <v>180</v>
      </c>
      <c r="D108" s="13">
        <v>0.125</v>
      </c>
      <c r="E108" s="13">
        <v>0</v>
      </c>
      <c r="F108" s="13">
        <v>25.15</v>
      </c>
      <c r="G108" s="13">
        <f t="shared" si="51"/>
        <v>101.1</v>
      </c>
      <c r="H108" s="13">
        <v>0.03</v>
      </c>
      <c r="I108" s="13">
        <v>0</v>
      </c>
      <c r="J108" s="13">
        <v>0</v>
      </c>
      <c r="K108" s="13">
        <v>0</v>
      </c>
      <c r="L108" s="13">
        <v>28.6</v>
      </c>
      <c r="M108" s="13">
        <v>6.78</v>
      </c>
      <c r="N108" s="13">
        <v>29.67</v>
      </c>
      <c r="O108" s="14">
        <v>6.2E-2</v>
      </c>
    </row>
    <row r="109" spans="1:15" ht="15.75" x14ac:dyDescent="0.25">
      <c r="A109" s="11"/>
      <c r="B109" s="12" t="s">
        <v>86</v>
      </c>
      <c r="C109" s="13">
        <v>25</v>
      </c>
      <c r="D109" s="13">
        <v>1.6</v>
      </c>
      <c r="E109" s="13">
        <v>0.2</v>
      </c>
      <c r="F109" s="13">
        <v>10.4</v>
      </c>
      <c r="G109" s="13">
        <f t="shared" si="51"/>
        <v>49.8</v>
      </c>
      <c r="H109" s="13">
        <v>2.1999999999999999E-2</v>
      </c>
      <c r="I109" s="13">
        <v>0.01</v>
      </c>
      <c r="J109" s="13">
        <v>0</v>
      </c>
      <c r="K109" s="13">
        <v>0</v>
      </c>
      <c r="L109" s="13">
        <v>4.5999999999999996</v>
      </c>
      <c r="M109" s="13">
        <v>2.1</v>
      </c>
      <c r="N109" s="13">
        <v>21.2</v>
      </c>
      <c r="O109" s="14">
        <v>0.2</v>
      </c>
    </row>
    <row r="110" spans="1:15" ht="16.5" thickBot="1" x14ac:dyDescent="0.3">
      <c r="A110" s="11"/>
      <c r="B110" s="24" t="s">
        <v>92</v>
      </c>
      <c r="C110" s="25">
        <v>25</v>
      </c>
      <c r="D110" s="13">
        <v>1.3</v>
      </c>
      <c r="E110" s="13">
        <v>0.2</v>
      </c>
      <c r="F110" s="13">
        <v>8.1999999999999993</v>
      </c>
      <c r="G110" s="13">
        <f t="shared" si="51"/>
        <v>39.799999999999997</v>
      </c>
      <c r="H110" s="13">
        <v>2.1999999999999999E-2</v>
      </c>
      <c r="I110" s="13">
        <v>0.01</v>
      </c>
      <c r="J110" s="13">
        <v>0</v>
      </c>
      <c r="K110" s="13">
        <v>0</v>
      </c>
      <c r="L110" s="13">
        <v>5</v>
      </c>
      <c r="M110" s="13">
        <v>2.8</v>
      </c>
      <c r="N110" s="13">
        <v>13</v>
      </c>
      <c r="O110" s="14">
        <v>0.22</v>
      </c>
    </row>
    <row r="111" spans="1:15" ht="16.5" thickBot="1" x14ac:dyDescent="0.3">
      <c r="A111" s="90" t="s">
        <v>20</v>
      </c>
      <c r="B111" s="91"/>
      <c r="C111" s="9">
        <f>SUM(C105:C110)</f>
        <v>730</v>
      </c>
      <c r="D111" s="9">
        <f>SUM(D105:D110)</f>
        <v>34.074999999999996</v>
      </c>
      <c r="E111" s="9">
        <f t="shared" ref="E111:O111" si="52">SUM(E105:E110)</f>
        <v>28.22</v>
      </c>
      <c r="F111" s="9">
        <f t="shared" si="52"/>
        <v>120.79</v>
      </c>
      <c r="G111" s="9">
        <f t="shared" si="52"/>
        <v>873.43999999999994</v>
      </c>
      <c r="H111" s="9">
        <f t="shared" si="52"/>
        <v>0.3640000000000001</v>
      </c>
      <c r="I111" s="9">
        <f t="shared" si="52"/>
        <v>0.92900000000000005</v>
      </c>
      <c r="J111" s="9">
        <f t="shared" si="52"/>
        <v>16.059999999999999</v>
      </c>
      <c r="K111" s="9">
        <f t="shared" si="52"/>
        <v>289</v>
      </c>
      <c r="L111" s="9">
        <f t="shared" si="52"/>
        <v>455.00000000000006</v>
      </c>
      <c r="M111" s="9">
        <f t="shared" si="52"/>
        <v>116.24</v>
      </c>
      <c r="N111" s="9">
        <f t="shared" si="52"/>
        <v>395.37</v>
      </c>
      <c r="O111" s="10">
        <f t="shared" si="52"/>
        <v>5.3419999999999996</v>
      </c>
    </row>
    <row r="112" spans="1:15" ht="15.75" x14ac:dyDescent="0.25">
      <c r="A112" s="95" t="s">
        <v>22</v>
      </c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7"/>
    </row>
    <row r="113" spans="1:15" ht="15.75" x14ac:dyDescent="0.25">
      <c r="A113" s="11"/>
      <c r="B113" s="12" t="s">
        <v>122</v>
      </c>
      <c r="C113" s="13">
        <v>75</v>
      </c>
      <c r="D113" s="13">
        <v>11.91</v>
      </c>
      <c r="E113" s="13">
        <v>11.47</v>
      </c>
      <c r="F113" s="13">
        <v>19.28</v>
      </c>
      <c r="G113" s="13">
        <f>4*(D113+F113)+(9*E113)</f>
        <v>227.99</v>
      </c>
      <c r="H113" s="13">
        <v>7.0000000000000007E-2</v>
      </c>
      <c r="I113" s="13">
        <v>0.01</v>
      </c>
      <c r="J113" s="13">
        <v>2.1</v>
      </c>
      <c r="K113" s="13">
        <v>58</v>
      </c>
      <c r="L113" s="13">
        <v>117</v>
      </c>
      <c r="M113" s="13">
        <v>1</v>
      </c>
      <c r="N113" s="13">
        <v>123.1</v>
      </c>
      <c r="O113" s="14">
        <v>0.8</v>
      </c>
    </row>
    <row r="114" spans="1:15" ht="16.5" thickBot="1" x14ac:dyDescent="0.3">
      <c r="A114" s="11" t="s">
        <v>127</v>
      </c>
      <c r="B114" s="24" t="s">
        <v>123</v>
      </c>
      <c r="C114" s="25">
        <v>200</v>
      </c>
      <c r="D114" s="25">
        <v>0.2</v>
      </c>
      <c r="E114" s="25">
        <v>0</v>
      </c>
      <c r="F114" s="25">
        <v>17.48</v>
      </c>
      <c r="G114" s="13">
        <f>4*(D114+F114)+(9*E114)</f>
        <v>70.72</v>
      </c>
      <c r="H114" s="25">
        <v>0.28000000000000003</v>
      </c>
      <c r="I114" s="25">
        <v>0.04</v>
      </c>
      <c r="J114" s="25">
        <v>6</v>
      </c>
      <c r="K114" s="25">
        <v>0</v>
      </c>
      <c r="L114" s="25">
        <v>8.0500000000000007</v>
      </c>
      <c r="M114" s="25">
        <v>3.24</v>
      </c>
      <c r="N114" s="25">
        <v>9.7799999999999994</v>
      </c>
      <c r="O114" s="26">
        <v>0.19</v>
      </c>
    </row>
    <row r="115" spans="1:15" ht="16.5" thickBot="1" x14ac:dyDescent="0.3">
      <c r="A115" s="90" t="s">
        <v>20</v>
      </c>
      <c r="B115" s="91"/>
      <c r="C115" s="27">
        <f>SUM(C113:C114)</f>
        <v>275</v>
      </c>
      <c r="D115" s="9">
        <f>SUM(D113:D114)</f>
        <v>12.11</v>
      </c>
      <c r="E115" s="9">
        <f t="shared" ref="E115:O115" si="53">SUM(E113:E114)</f>
        <v>11.47</v>
      </c>
      <c r="F115" s="9">
        <f t="shared" si="53"/>
        <v>36.760000000000005</v>
      </c>
      <c r="G115" s="9">
        <f t="shared" si="53"/>
        <v>298.71000000000004</v>
      </c>
      <c r="H115" s="9">
        <f t="shared" si="53"/>
        <v>0.35000000000000003</v>
      </c>
      <c r="I115" s="9">
        <f t="shared" si="53"/>
        <v>0.05</v>
      </c>
      <c r="J115" s="9">
        <f t="shared" si="53"/>
        <v>8.1</v>
      </c>
      <c r="K115" s="9">
        <f t="shared" si="53"/>
        <v>58</v>
      </c>
      <c r="L115" s="9">
        <f t="shared" si="53"/>
        <v>125.05</v>
      </c>
      <c r="M115" s="9">
        <f t="shared" si="53"/>
        <v>4.24</v>
      </c>
      <c r="N115" s="9">
        <f t="shared" si="53"/>
        <v>132.88</v>
      </c>
      <c r="O115" s="10">
        <f t="shared" si="53"/>
        <v>0.99</v>
      </c>
    </row>
    <row r="116" spans="1:15" ht="16.5" thickBot="1" x14ac:dyDescent="0.3">
      <c r="A116" s="28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30"/>
    </row>
    <row r="117" spans="1:15" ht="16.5" thickBot="1" x14ac:dyDescent="0.3">
      <c r="A117" s="90" t="s">
        <v>46</v>
      </c>
      <c r="B117" s="91"/>
      <c r="C117" s="9">
        <f>C115+C111+C103</f>
        <v>1520</v>
      </c>
      <c r="D117" s="31">
        <f>D115+D111+D103</f>
        <v>58.284999999999997</v>
      </c>
      <c r="E117" s="31">
        <f t="shared" ref="E117:O117" si="54">E115+E111+E103</f>
        <v>59.33</v>
      </c>
      <c r="F117" s="31">
        <f t="shared" si="54"/>
        <v>251.36</v>
      </c>
      <c r="G117" s="31">
        <f t="shared" si="54"/>
        <v>1772.5500000000002</v>
      </c>
      <c r="H117" s="9">
        <f t="shared" si="54"/>
        <v>0.94800000000000018</v>
      </c>
      <c r="I117" s="9">
        <f t="shared" si="54"/>
        <v>1.0750000000000002</v>
      </c>
      <c r="J117" s="9">
        <f t="shared" si="54"/>
        <v>45.559999999999995</v>
      </c>
      <c r="K117" s="9">
        <f t="shared" si="54"/>
        <v>525</v>
      </c>
      <c r="L117" s="9">
        <f t="shared" si="54"/>
        <v>825.15000000000009</v>
      </c>
      <c r="M117" s="9">
        <f t="shared" si="54"/>
        <v>187.98</v>
      </c>
      <c r="N117" s="9">
        <f t="shared" si="54"/>
        <v>825.25</v>
      </c>
      <c r="O117" s="10">
        <f t="shared" si="54"/>
        <v>9.0019999999999989</v>
      </c>
    </row>
    <row r="118" spans="1:15" s="1" customFormat="1" ht="15.75" x14ac:dyDescent="0.25">
      <c r="A118" s="32"/>
      <c r="B118" s="32"/>
      <c r="C118" s="34"/>
      <c r="D118" s="33"/>
      <c r="E118" s="33"/>
      <c r="F118" s="33"/>
      <c r="G118" s="33"/>
      <c r="H118" s="34"/>
      <c r="I118" s="34"/>
      <c r="J118" s="34"/>
      <c r="K118" s="34"/>
      <c r="L118" s="34"/>
      <c r="M118" s="34"/>
      <c r="N118" s="34"/>
      <c r="O118" s="34"/>
    </row>
    <row r="119" spans="1:15" s="1" customFormat="1" x14ac:dyDescent="0.25">
      <c r="A119" s="87" t="s">
        <v>209</v>
      </c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</row>
    <row r="120" spans="1:15" s="1" customFormat="1" ht="15.75" x14ac:dyDescent="0.25">
      <c r="A120" s="32"/>
      <c r="B120" s="32"/>
      <c r="C120" s="34"/>
      <c r="D120" s="33"/>
      <c r="E120" s="33"/>
      <c r="F120" s="33"/>
      <c r="G120" s="33"/>
      <c r="H120" s="34"/>
      <c r="I120" s="34"/>
      <c r="J120" s="34"/>
      <c r="K120" s="34"/>
      <c r="L120" s="34"/>
      <c r="M120" s="34"/>
      <c r="N120" s="34"/>
      <c r="O120" s="34"/>
    </row>
    <row r="121" spans="1:15" s="1" customFormat="1" x14ac:dyDescent="0.25">
      <c r="A121" s="88" t="s">
        <v>208</v>
      </c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</row>
    <row r="122" spans="1:15" s="1" customFormat="1" ht="15.75" x14ac:dyDescent="0.25">
      <c r="A122" s="32"/>
      <c r="B122" s="32"/>
      <c r="C122" s="34"/>
      <c r="D122" s="33"/>
      <c r="E122" s="33"/>
      <c r="F122" s="33"/>
      <c r="G122" s="33"/>
      <c r="H122" s="34"/>
      <c r="I122" s="34"/>
      <c r="J122" s="34"/>
      <c r="K122" s="34"/>
      <c r="L122" s="34"/>
      <c r="M122" s="34"/>
      <c r="N122" s="34"/>
      <c r="O122" s="34"/>
    </row>
    <row r="123" spans="1:15" s="1" customFormat="1" ht="16.5" thickBot="1" x14ac:dyDescent="0.3">
      <c r="A123" s="32"/>
      <c r="B123" s="32"/>
      <c r="C123" s="34"/>
      <c r="D123" s="33"/>
      <c r="E123" s="33"/>
      <c r="F123" s="33"/>
      <c r="G123" s="33"/>
      <c r="H123" s="34"/>
      <c r="I123" s="34"/>
      <c r="J123" s="34"/>
      <c r="K123" s="34"/>
      <c r="L123" s="34"/>
      <c r="M123" s="34"/>
      <c r="N123" s="34"/>
      <c r="O123" s="34"/>
    </row>
    <row r="124" spans="1:15" s="1" customFormat="1" x14ac:dyDescent="0.25">
      <c r="A124" s="98" t="s">
        <v>0</v>
      </c>
      <c r="B124" s="100" t="s">
        <v>1</v>
      </c>
      <c r="C124" s="102" t="s">
        <v>2</v>
      </c>
      <c r="D124" s="104" t="s">
        <v>3</v>
      </c>
      <c r="E124" s="105"/>
      <c r="F124" s="106"/>
      <c r="G124" s="102" t="s">
        <v>4</v>
      </c>
      <c r="H124" s="107" t="s">
        <v>5</v>
      </c>
      <c r="I124" s="107"/>
      <c r="J124" s="107"/>
      <c r="K124" s="107"/>
      <c r="L124" s="108" t="s">
        <v>6</v>
      </c>
      <c r="M124" s="109"/>
      <c r="N124" s="109"/>
      <c r="O124" s="110"/>
    </row>
    <row r="125" spans="1:15" ht="49.5" customHeight="1" thickBot="1" x14ac:dyDescent="0.3">
      <c r="A125" s="99"/>
      <c r="B125" s="101"/>
      <c r="C125" s="103"/>
      <c r="D125" s="35" t="s">
        <v>7</v>
      </c>
      <c r="E125" s="35" t="s">
        <v>8</v>
      </c>
      <c r="F125" s="35" t="s">
        <v>9</v>
      </c>
      <c r="G125" s="103"/>
      <c r="H125" s="36" t="s">
        <v>10</v>
      </c>
      <c r="I125" s="36" t="s">
        <v>16</v>
      </c>
      <c r="J125" s="36" t="s">
        <v>11</v>
      </c>
      <c r="K125" s="36" t="s">
        <v>17</v>
      </c>
      <c r="L125" s="37" t="s">
        <v>12</v>
      </c>
      <c r="M125" s="36" t="s">
        <v>13</v>
      </c>
      <c r="N125" s="36" t="s">
        <v>14</v>
      </c>
      <c r="O125" s="38" t="s">
        <v>15</v>
      </c>
    </row>
    <row r="126" spans="1:15" ht="15.75" x14ac:dyDescent="0.25">
      <c r="A126" s="84" t="s">
        <v>29</v>
      </c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2"/>
    </row>
    <row r="127" spans="1:15" ht="15.75" x14ac:dyDescent="0.25">
      <c r="A127" s="92" t="s">
        <v>19</v>
      </c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4"/>
    </row>
    <row r="128" spans="1:15" ht="15.75" x14ac:dyDescent="0.25">
      <c r="A128" s="11" t="s">
        <v>138</v>
      </c>
      <c r="B128" s="12" t="s">
        <v>129</v>
      </c>
      <c r="C128" s="13">
        <v>90</v>
      </c>
      <c r="D128" s="13">
        <v>8.1199999999999992</v>
      </c>
      <c r="E128" s="13">
        <v>5.62</v>
      </c>
      <c r="F128" s="13">
        <v>14.85</v>
      </c>
      <c r="G128" s="13">
        <f>4*(D128+F128)+(9*E128)</f>
        <v>142.45999999999998</v>
      </c>
      <c r="H128" s="13">
        <v>4.3999999999999997E-2</v>
      </c>
      <c r="I128" s="13">
        <v>0.13500000000000001</v>
      </c>
      <c r="J128" s="13">
        <v>5.9</v>
      </c>
      <c r="K128" s="13">
        <v>167.13</v>
      </c>
      <c r="L128" s="13">
        <v>136.1</v>
      </c>
      <c r="M128" s="13">
        <v>9.1999999999999993</v>
      </c>
      <c r="N128" s="13">
        <v>103.61</v>
      </c>
      <c r="O128" s="14">
        <v>0.7</v>
      </c>
    </row>
    <row r="129" spans="1:15" ht="31.5" x14ac:dyDescent="0.25">
      <c r="A129" s="39" t="s">
        <v>136</v>
      </c>
      <c r="B129" s="46" t="s">
        <v>224</v>
      </c>
      <c r="C129" s="41">
        <v>150</v>
      </c>
      <c r="D129" s="41">
        <v>4.68</v>
      </c>
      <c r="E129" s="41">
        <v>8.9499999999999993</v>
      </c>
      <c r="F129" s="41">
        <v>34.29</v>
      </c>
      <c r="G129" s="41">
        <f t="shared" ref="G129:G132" si="55">4*(D129+F129)+(9*E129)</f>
        <v>236.43</v>
      </c>
      <c r="H129" s="41">
        <v>1.2E-2</v>
      </c>
      <c r="I129" s="41">
        <v>0.28999999999999998</v>
      </c>
      <c r="J129" s="41">
        <v>0.8</v>
      </c>
      <c r="K129" s="41">
        <v>59</v>
      </c>
      <c r="L129" s="41">
        <v>89.67</v>
      </c>
      <c r="M129" s="41">
        <v>22.82</v>
      </c>
      <c r="N129" s="41">
        <v>85.03</v>
      </c>
      <c r="O129" s="42">
        <v>0.81</v>
      </c>
    </row>
    <row r="130" spans="1:15" ht="15.75" x14ac:dyDescent="0.25">
      <c r="A130" s="11" t="s">
        <v>114</v>
      </c>
      <c r="B130" s="12" t="s">
        <v>84</v>
      </c>
      <c r="C130" s="13">
        <v>200</v>
      </c>
      <c r="D130" s="13">
        <v>0.05</v>
      </c>
      <c r="E130" s="13">
        <v>0.02</v>
      </c>
      <c r="F130" s="13">
        <v>9.32</v>
      </c>
      <c r="G130" s="13">
        <f t="shared" si="55"/>
        <v>37.660000000000004</v>
      </c>
      <c r="H130" s="13">
        <v>0</v>
      </c>
      <c r="I130" s="13">
        <v>0</v>
      </c>
      <c r="J130" s="13">
        <v>0.02</v>
      </c>
      <c r="K130" s="13">
        <v>0</v>
      </c>
      <c r="L130" s="13">
        <v>8</v>
      </c>
      <c r="M130" s="13">
        <v>0.9</v>
      </c>
      <c r="N130" s="13">
        <v>1.6</v>
      </c>
      <c r="O130" s="14">
        <v>0.19</v>
      </c>
    </row>
    <row r="131" spans="1:15" ht="15.75" x14ac:dyDescent="0.25">
      <c r="A131" s="11"/>
      <c r="B131" s="12" t="s">
        <v>86</v>
      </c>
      <c r="C131" s="13">
        <v>25</v>
      </c>
      <c r="D131" s="13">
        <v>1.6</v>
      </c>
      <c r="E131" s="13">
        <v>0.2</v>
      </c>
      <c r="F131" s="13">
        <v>10.4</v>
      </c>
      <c r="G131" s="13">
        <f t="shared" si="55"/>
        <v>49.8</v>
      </c>
      <c r="H131" s="13">
        <v>2.1999999999999999E-2</v>
      </c>
      <c r="I131" s="13">
        <v>0.01</v>
      </c>
      <c r="J131" s="13">
        <v>0</v>
      </c>
      <c r="K131" s="13">
        <v>0</v>
      </c>
      <c r="L131" s="13">
        <v>4.5999999999999996</v>
      </c>
      <c r="M131" s="13">
        <v>2.1</v>
      </c>
      <c r="N131" s="13">
        <v>21.2</v>
      </c>
      <c r="O131" s="14">
        <v>0.2</v>
      </c>
    </row>
    <row r="132" spans="1:15" ht="16.5" thickBot="1" x14ac:dyDescent="0.3">
      <c r="A132" s="23"/>
      <c r="B132" s="24" t="s">
        <v>110</v>
      </c>
      <c r="C132" s="25">
        <v>100</v>
      </c>
      <c r="D132" s="25">
        <v>0.3</v>
      </c>
      <c r="E132" s="25">
        <v>0</v>
      </c>
      <c r="F132" s="25">
        <v>8.6</v>
      </c>
      <c r="G132" s="13">
        <f t="shared" si="55"/>
        <v>35.6</v>
      </c>
      <c r="H132" s="25">
        <v>0.03</v>
      </c>
      <c r="I132" s="25">
        <v>0.03</v>
      </c>
      <c r="J132" s="25">
        <v>0.01</v>
      </c>
      <c r="K132" s="25">
        <v>16</v>
      </c>
      <c r="L132" s="25">
        <v>16</v>
      </c>
      <c r="M132" s="25">
        <v>9</v>
      </c>
      <c r="N132" s="25">
        <v>11</v>
      </c>
      <c r="O132" s="26">
        <v>0.66</v>
      </c>
    </row>
    <row r="133" spans="1:15" ht="16.5" thickBot="1" x14ac:dyDescent="0.3">
      <c r="A133" s="90" t="s">
        <v>20</v>
      </c>
      <c r="B133" s="91"/>
      <c r="C133" s="9">
        <f t="shared" ref="C133:O133" si="56">SUM(C128:C132)</f>
        <v>565</v>
      </c>
      <c r="D133" s="9">
        <f t="shared" si="56"/>
        <v>14.75</v>
      </c>
      <c r="E133" s="9">
        <f t="shared" si="56"/>
        <v>14.79</v>
      </c>
      <c r="F133" s="9">
        <f t="shared" si="56"/>
        <v>77.459999999999994</v>
      </c>
      <c r="G133" s="9">
        <f t="shared" si="56"/>
        <v>501.95000000000005</v>
      </c>
      <c r="H133" s="9">
        <f t="shared" si="56"/>
        <v>0.10799999999999998</v>
      </c>
      <c r="I133" s="9">
        <f t="shared" si="56"/>
        <v>0.46499999999999997</v>
      </c>
      <c r="J133" s="9">
        <f t="shared" si="56"/>
        <v>6.7299999999999995</v>
      </c>
      <c r="K133" s="9">
        <f t="shared" si="56"/>
        <v>242.13</v>
      </c>
      <c r="L133" s="9">
        <f t="shared" si="56"/>
        <v>254.36999999999998</v>
      </c>
      <c r="M133" s="9">
        <f t="shared" si="56"/>
        <v>44.019999999999996</v>
      </c>
      <c r="N133" s="9">
        <f t="shared" si="56"/>
        <v>222.43999999999997</v>
      </c>
      <c r="O133" s="10">
        <f t="shared" si="56"/>
        <v>2.56</v>
      </c>
    </row>
    <row r="134" spans="1:15" ht="15.75" x14ac:dyDescent="0.25">
      <c r="A134" s="95" t="s">
        <v>21</v>
      </c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7"/>
    </row>
    <row r="135" spans="1:15" ht="31.5" x14ac:dyDescent="0.25">
      <c r="A135" s="11" t="s">
        <v>135</v>
      </c>
      <c r="B135" s="40" t="s">
        <v>130</v>
      </c>
      <c r="C135" s="13">
        <v>250</v>
      </c>
      <c r="D135" s="13">
        <v>7.68</v>
      </c>
      <c r="E135" s="13">
        <v>14.8</v>
      </c>
      <c r="F135" s="13">
        <v>26.15</v>
      </c>
      <c r="G135" s="13">
        <f>4*(D135+F135)+(9*E135)</f>
        <v>268.52</v>
      </c>
      <c r="H135" s="13">
        <v>0.27</v>
      </c>
      <c r="I135" s="13">
        <v>0.21299999999999999</v>
      </c>
      <c r="J135" s="13">
        <v>0.14299999999999999</v>
      </c>
      <c r="K135" s="13">
        <v>54</v>
      </c>
      <c r="L135" s="13">
        <v>94.25</v>
      </c>
      <c r="M135" s="13">
        <v>17.100000000000001</v>
      </c>
      <c r="N135" s="13">
        <v>93.6</v>
      </c>
      <c r="O135" s="14">
        <v>0.68600000000000005</v>
      </c>
    </row>
    <row r="136" spans="1:15" ht="15.75" x14ac:dyDescent="0.25">
      <c r="A136" s="11" t="s">
        <v>225</v>
      </c>
      <c r="B136" s="12" t="s">
        <v>226</v>
      </c>
      <c r="C136" s="13">
        <v>100</v>
      </c>
      <c r="D136" s="13">
        <v>11.13</v>
      </c>
      <c r="E136" s="13">
        <v>8.64</v>
      </c>
      <c r="F136" s="13">
        <v>11.76</v>
      </c>
      <c r="G136" s="13">
        <f t="shared" ref="G136:G140" si="57">4*(D136+F136)+(9*E136)</f>
        <v>169.32</v>
      </c>
      <c r="H136" s="13">
        <v>0.08</v>
      </c>
      <c r="I136" s="13">
        <v>7.0000000000000007E-2</v>
      </c>
      <c r="J136" s="13">
        <v>13</v>
      </c>
      <c r="K136" s="13">
        <v>161</v>
      </c>
      <c r="L136" s="13">
        <v>84.3</v>
      </c>
      <c r="M136" s="13">
        <v>19.3</v>
      </c>
      <c r="N136" s="13">
        <v>108.4</v>
      </c>
      <c r="O136" s="14">
        <v>1.0129999999999999</v>
      </c>
    </row>
    <row r="137" spans="1:15" ht="15.75" x14ac:dyDescent="0.25">
      <c r="A137" s="11" t="s">
        <v>113</v>
      </c>
      <c r="B137" s="12" t="s">
        <v>227</v>
      </c>
      <c r="C137" s="13">
        <v>150</v>
      </c>
      <c r="D137" s="13">
        <v>8.2899999999999991</v>
      </c>
      <c r="E137" s="13">
        <v>6.88</v>
      </c>
      <c r="F137" s="13">
        <v>44.26</v>
      </c>
      <c r="G137" s="13">
        <f t="shared" si="57"/>
        <v>272.12</v>
      </c>
      <c r="H137" s="13">
        <v>0.25</v>
      </c>
      <c r="I137" s="13">
        <v>0</v>
      </c>
      <c r="J137" s="13">
        <v>2.0499999999999998</v>
      </c>
      <c r="K137" s="13">
        <v>28.5</v>
      </c>
      <c r="L137" s="13">
        <v>97.24</v>
      </c>
      <c r="M137" s="13">
        <v>38.200000000000003</v>
      </c>
      <c r="N137" s="13">
        <v>96</v>
      </c>
      <c r="O137" s="14">
        <v>3.33</v>
      </c>
    </row>
    <row r="138" spans="1:15" ht="15.75" x14ac:dyDescent="0.25">
      <c r="A138" s="11" t="s">
        <v>133</v>
      </c>
      <c r="B138" s="12" t="s">
        <v>228</v>
      </c>
      <c r="C138" s="13">
        <v>180</v>
      </c>
      <c r="D138" s="13">
        <v>0.26</v>
      </c>
      <c r="E138" s="13">
        <v>0.12</v>
      </c>
      <c r="F138" s="13">
        <v>21.8</v>
      </c>
      <c r="G138" s="13">
        <f t="shared" si="57"/>
        <v>89.320000000000007</v>
      </c>
      <c r="H138" s="13">
        <v>0</v>
      </c>
      <c r="I138" s="13">
        <v>0.05</v>
      </c>
      <c r="J138" s="13">
        <v>20.399999999999999</v>
      </c>
      <c r="K138" s="13">
        <v>0</v>
      </c>
      <c r="L138" s="13">
        <v>19.2</v>
      </c>
      <c r="M138" s="13">
        <v>4.0999999999999996</v>
      </c>
      <c r="N138" s="13">
        <v>57.8</v>
      </c>
      <c r="O138" s="14">
        <v>0.4</v>
      </c>
    </row>
    <row r="139" spans="1:15" ht="15.75" x14ac:dyDescent="0.25">
      <c r="A139" s="11"/>
      <c r="B139" s="12" t="s">
        <v>86</v>
      </c>
      <c r="C139" s="13">
        <v>25</v>
      </c>
      <c r="D139" s="13">
        <v>1.6</v>
      </c>
      <c r="E139" s="13">
        <v>0.2</v>
      </c>
      <c r="F139" s="13">
        <v>10.4</v>
      </c>
      <c r="G139" s="13">
        <f t="shared" si="57"/>
        <v>49.8</v>
      </c>
      <c r="H139" s="13">
        <v>2.1999999999999999E-2</v>
      </c>
      <c r="I139" s="13">
        <v>0.01</v>
      </c>
      <c r="J139" s="13">
        <v>0</v>
      </c>
      <c r="K139" s="13">
        <v>0</v>
      </c>
      <c r="L139" s="13">
        <v>4.5999999999999996</v>
      </c>
      <c r="M139" s="13">
        <v>2.1</v>
      </c>
      <c r="N139" s="13">
        <v>21.2</v>
      </c>
      <c r="O139" s="14">
        <v>0.2</v>
      </c>
    </row>
    <row r="140" spans="1:15" ht="16.5" thickBot="1" x14ac:dyDescent="0.3">
      <c r="A140" s="23"/>
      <c r="B140" s="24" t="s">
        <v>92</v>
      </c>
      <c r="C140" s="25">
        <v>25</v>
      </c>
      <c r="D140" s="13">
        <v>1.3</v>
      </c>
      <c r="E140" s="13">
        <v>0.2</v>
      </c>
      <c r="F140" s="13">
        <v>8.1999999999999993</v>
      </c>
      <c r="G140" s="13">
        <f t="shared" si="57"/>
        <v>39.799999999999997</v>
      </c>
      <c r="H140" s="13">
        <v>2.1999999999999999E-2</v>
      </c>
      <c r="I140" s="13">
        <v>0.01</v>
      </c>
      <c r="J140" s="13">
        <v>0</v>
      </c>
      <c r="K140" s="13">
        <v>0</v>
      </c>
      <c r="L140" s="13">
        <v>5</v>
      </c>
      <c r="M140" s="13">
        <v>2.8</v>
      </c>
      <c r="N140" s="13">
        <v>13</v>
      </c>
      <c r="O140" s="14">
        <v>0.22</v>
      </c>
    </row>
    <row r="141" spans="1:15" ht="16.5" thickBot="1" x14ac:dyDescent="0.3">
      <c r="A141" s="90" t="s">
        <v>20</v>
      </c>
      <c r="B141" s="91"/>
      <c r="C141" s="9">
        <f t="shared" ref="C141:O141" si="58">SUM(C135:C140)</f>
        <v>730</v>
      </c>
      <c r="D141" s="9">
        <f t="shared" si="58"/>
        <v>30.260000000000005</v>
      </c>
      <c r="E141" s="9">
        <f t="shared" si="58"/>
        <v>30.84</v>
      </c>
      <c r="F141" s="9">
        <f t="shared" si="58"/>
        <v>122.57</v>
      </c>
      <c r="G141" s="9">
        <f t="shared" si="58"/>
        <v>888.88</v>
      </c>
      <c r="H141" s="9">
        <f t="shared" si="58"/>
        <v>0.64400000000000013</v>
      </c>
      <c r="I141" s="9">
        <f t="shared" si="58"/>
        <v>0.35300000000000004</v>
      </c>
      <c r="J141" s="9">
        <f t="shared" si="58"/>
        <v>35.593000000000004</v>
      </c>
      <c r="K141" s="9">
        <f t="shared" si="58"/>
        <v>243.5</v>
      </c>
      <c r="L141" s="9">
        <f t="shared" si="58"/>
        <v>304.59000000000003</v>
      </c>
      <c r="M141" s="9">
        <f t="shared" si="58"/>
        <v>83.6</v>
      </c>
      <c r="N141" s="9">
        <f t="shared" si="58"/>
        <v>390</v>
      </c>
      <c r="O141" s="10">
        <f t="shared" si="58"/>
        <v>5.8490000000000002</v>
      </c>
    </row>
    <row r="142" spans="1:15" ht="15.75" x14ac:dyDescent="0.25">
      <c r="A142" s="95" t="s">
        <v>22</v>
      </c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7"/>
    </row>
    <row r="143" spans="1:15" ht="15.75" x14ac:dyDescent="0.25">
      <c r="A143" s="11" t="s">
        <v>137</v>
      </c>
      <c r="B143" s="12" t="s">
        <v>181</v>
      </c>
      <c r="C143" s="13">
        <v>75</v>
      </c>
      <c r="D143" s="13">
        <v>7.65</v>
      </c>
      <c r="E143" s="13">
        <v>7.25</v>
      </c>
      <c r="F143" s="13">
        <v>31.07</v>
      </c>
      <c r="G143" s="13">
        <f>4*(D143+F143)+(9*E143)</f>
        <v>220.13</v>
      </c>
      <c r="H143" s="13">
        <v>0.08</v>
      </c>
      <c r="I143" s="13">
        <v>0.06</v>
      </c>
      <c r="J143" s="13">
        <v>3</v>
      </c>
      <c r="K143" s="13">
        <v>56.8</v>
      </c>
      <c r="L143" s="13">
        <v>124.4</v>
      </c>
      <c r="M143" s="13">
        <v>39</v>
      </c>
      <c r="N143" s="13">
        <v>98.7</v>
      </c>
      <c r="O143" s="14">
        <v>0.5</v>
      </c>
    </row>
    <row r="144" spans="1:15" ht="16.5" thickBot="1" x14ac:dyDescent="0.3">
      <c r="A144" s="23"/>
      <c r="B144" s="24" t="s">
        <v>132</v>
      </c>
      <c r="C144" s="25">
        <v>200</v>
      </c>
      <c r="D144" s="25">
        <v>5.4</v>
      </c>
      <c r="E144" s="25">
        <v>5</v>
      </c>
      <c r="F144" s="25">
        <v>20.16</v>
      </c>
      <c r="G144" s="13">
        <f>4*(D144+F144)+(9*E144)</f>
        <v>147.24</v>
      </c>
      <c r="H144" s="25">
        <v>0.06</v>
      </c>
      <c r="I144" s="25">
        <v>0.18</v>
      </c>
      <c r="J144" s="25">
        <v>0.04</v>
      </c>
      <c r="K144" s="25">
        <v>0</v>
      </c>
      <c r="L144" s="25">
        <v>142</v>
      </c>
      <c r="M144" s="25">
        <v>21</v>
      </c>
      <c r="N144" s="25">
        <v>114</v>
      </c>
      <c r="O144" s="26">
        <v>0.2</v>
      </c>
    </row>
    <row r="145" spans="1:15" ht="16.5" thickBot="1" x14ac:dyDescent="0.3">
      <c r="A145" s="90" t="s">
        <v>20</v>
      </c>
      <c r="B145" s="91"/>
      <c r="C145" s="27">
        <f>SUM(C143:C144)</f>
        <v>275</v>
      </c>
      <c r="D145" s="9">
        <f>SUM(D143:D144)</f>
        <v>13.05</v>
      </c>
      <c r="E145" s="9">
        <f t="shared" ref="E145:O145" si="59">SUM(E143:E144)</f>
        <v>12.25</v>
      </c>
      <c r="F145" s="9">
        <f t="shared" si="59"/>
        <v>51.230000000000004</v>
      </c>
      <c r="G145" s="9">
        <f t="shared" si="59"/>
        <v>367.37</v>
      </c>
      <c r="H145" s="9">
        <f t="shared" si="59"/>
        <v>0.14000000000000001</v>
      </c>
      <c r="I145" s="9">
        <f t="shared" si="59"/>
        <v>0.24</v>
      </c>
      <c r="J145" s="9">
        <f t="shared" si="59"/>
        <v>3.04</v>
      </c>
      <c r="K145" s="9">
        <f t="shared" si="59"/>
        <v>56.8</v>
      </c>
      <c r="L145" s="9">
        <f t="shared" si="59"/>
        <v>266.39999999999998</v>
      </c>
      <c r="M145" s="9">
        <f t="shared" si="59"/>
        <v>60</v>
      </c>
      <c r="N145" s="9">
        <f t="shared" si="59"/>
        <v>212.7</v>
      </c>
      <c r="O145" s="10">
        <f t="shared" si="59"/>
        <v>0.7</v>
      </c>
    </row>
    <row r="146" spans="1:15" ht="16.5" thickBot="1" x14ac:dyDescent="0.3">
      <c r="A146" s="28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30"/>
    </row>
    <row r="147" spans="1:15" ht="16.5" thickBot="1" x14ac:dyDescent="0.3">
      <c r="A147" s="90" t="s">
        <v>45</v>
      </c>
      <c r="B147" s="91"/>
      <c r="C147" s="9">
        <f t="shared" ref="C147:O147" si="60">C145+C141+C133</f>
        <v>1570</v>
      </c>
      <c r="D147" s="31">
        <f t="shared" si="60"/>
        <v>58.06</v>
      </c>
      <c r="E147" s="31">
        <f t="shared" si="60"/>
        <v>57.88</v>
      </c>
      <c r="F147" s="31">
        <f t="shared" si="60"/>
        <v>251.26</v>
      </c>
      <c r="G147" s="31">
        <f t="shared" si="60"/>
        <v>1758.2</v>
      </c>
      <c r="H147" s="9">
        <f t="shared" si="60"/>
        <v>0.89200000000000013</v>
      </c>
      <c r="I147" s="9">
        <f t="shared" si="60"/>
        <v>1.0579999999999998</v>
      </c>
      <c r="J147" s="9">
        <f t="shared" si="60"/>
        <v>45.363</v>
      </c>
      <c r="K147" s="9">
        <f t="shared" si="60"/>
        <v>542.43000000000006</v>
      </c>
      <c r="L147" s="9">
        <f t="shared" si="60"/>
        <v>825.36</v>
      </c>
      <c r="M147" s="9">
        <f t="shared" si="60"/>
        <v>187.62</v>
      </c>
      <c r="N147" s="9">
        <f t="shared" si="60"/>
        <v>825.14</v>
      </c>
      <c r="O147" s="10">
        <f t="shared" si="60"/>
        <v>9.109</v>
      </c>
    </row>
    <row r="148" spans="1:15" s="1" customFormat="1" ht="15.75" x14ac:dyDescent="0.25">
      <c r="A148" s="32"/>
      <c r="B148" s="32"/>
      <c r="C148" s="34"/>
      <c r="D148" s="33"/>
      <c r="E148" s="33"/>
      <c r="F148" s="33"/>
      <c r="G148" s="33"/>
      <c r="H148" s="34"/>
      <c r="I148" s="34"/>
      <c r="J148" s="34"/>
      <c r="K148" s="34"/>
      <c r="L148" s="34"/>
      <c r="M148" s="34"/>
      <c r="N148" s="34"/>
      <c r="O148" s="34"/>
    </row>
    <row r="149" spans="1:15" s="1" customFormat="1" x14ac:dyDescent="0.25">
      <c r="A149" s="87" t="s">
        <v>209</v>
      </c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</row>
    <row r="150" spans="1:15" s="1" customFormat="1" ht="15.75" x14ac:dyDescent="0.25">
      <c r="A150" s="32"/>
      <c r="B150" s="32"/>
      <c r="C150" s="34"/>
      <c r="D150" s="33"/>
      <c r="E150" s="33"/>
      <c r="F150" s="33"/>
      <c r="G150" s="33"/>
      <c r="H150" s="34"/>
      <c r="I150" s="34"/>
      <c r="J150" s="34"/>
      <c r="K150" s="34"/>
      <c r="L150" s="34"/>
      <c r="M150" s="34"/>
      <c r="N150" s="34"/>
      <c r="O150" s="34"/>
    </row>
    <row r="151" spans="1:15" s="1" customFormat="1" x14ac:dyDescent="0.25">
      <c r="A151" s="88" t="s">
        <v>208</v>
      </c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</row>
    <row r="152" spans="1:15" s="1" customFormat="1" ht="15.75" x14ac:dyDescent="0.25">
      <c r="A152" s="32"/>
      <c r="B152" s="32"/>
      <c r="C152" s="34"/>
      <c r="D152" s="33"/>
      <c r="E152" s="33"/>
      <c r="F152" s="33"/>
      <c r="G152" s="33"/>
      <c r="H152" s="34"/>
      <c r="I152" s="34"/>
      <c r="J152" s="34"/>
      <c r="K152" s="34"/>
      <c r="L152" s="34"/>
      <c r="M152" s="34"/>
      <c r="N152" s="34"/>
      <c r="O152" s="34"/>
    </row>
    <row r="153" spans="1:15" s="1" customFormat="1" ht="16.5" thickBot="1" x14ac:dyDescent="0.3">
      <c r="A153" s="32"/>
      <c r="B153" s="32"/>
      <c r="C153" s="34"/>
      <c r="D153" s="33"/>
      <c r="E153" s="33"/>
      <c r="F153" s="33"/>
      <c r="G153" s="33"/>
      <c r="H153" s="34"/>
      <c r="I153" s="34"/>
      <c r="J153" s="34"/>
      <c r="K153" s="34"/>
      <c r="L153" s="34"/>
      <c r="M153" s="34"/>
      <c r="N153" s="34"/>
      <c r="O153" s="34"/>
    </row>
    <row r="154" spans="1:15" s="1" customFormat="1" x14ac:dyDescent="0.25">
      <c r="A154" s="98" t="s">
        <v>0</v>
      </c>
      <c r="B154" s="100" t="s">
        <v>1</v>
      </c>
      <c r="C154" s="102" t="s">
        <v>2</v>
      </c>
      <c r="D154" s="104" t="s">
        <v>3</v>
      </c>
      <c r="E154" s="105"/>
      <c r="F154" s="106"/>
      <c r="G154" s="102" t="s">
        <v>4</v>
      </c>
      <c r="H154" s="107" t="s">
        <v>5</v>
      </c>
      <c r="I154" s="107"/>
      <c r="J154" s="107"/>
      <c r="K154" s="107"/>
      <c r="L154" s="108" t="s">
        <v>6</v>
      </c>
      <c r="M154" s="109"/>
      <c r="N154" s="109"/>
      <c r="O154" s="110"/>
    </row>
    <row r="155" spans="1:15" ht="49.5" customHeight="1" thickBot="1" x14ac:dyDescent="0.3">
      <c r="A155" s="99"/>
      <c r="B155" s="101"/>
      <c r="C155" s="103"/>
      <c r="D155" s="35" t="s">
        <v>7</v>
      </c>
      <c r="E155" s="35" t="s">
        <v>8</v>
      </c>
      <c r="F155" s="35" t="s">
        <v>9</v>
      </c>
      <c r="G155" s="103"/>
      <c r="H155" s="36" t="s">
        <v>10</v>
      </c>
      <c r="I155" s="36" t="s">
        <v>16</v>
      </c>
      <c r="J155" s="36" t="s">
        <v>11</v>
      </c>
      <c r="K155" s="36" t="s">
        <v>17</v>
      </c>
      <c r="L155" s="37" t="s">
        <v>12</v>
      </c>
      <c r="M155" s="36" t="s">
        <v>13</v>
      </c>
      <c r="N155" s="36" t="s">
        <v>14</v>
      </c>
      <c r="O155" s="38" t="s">
        <v>15</v>
      </c>
    </row>
    <row r="156" spans="1:15" ht="15.75" x14ac:dyDescent="0.25">
      <c r="A156" s="84" t="s">
        <v>30</v>
      </c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6"/>
    </row>
    <row r="157" spans="1:15" ht="15.75" x14ac:dyDescent="0.25">
      <c r="A157" s="92" t="s">
        <v>19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4"/>
    </row>
    <row r="158" spans="1:15" ht="15.75" x14ac:dyDescent="0.25">
      <c r="A158" s="11" t="s">
        <v>124</v>
      </c>
      <c r="B158" s="12" t="s">
        <v>156</v>
      </c>
      <c r="C158" s="13">
        <v>200</v>
      </c>
      <c r="D158" s="13">
        <v>6.84</v>
      </c>
      <c r="E158" s="13">
        <v>4.42</v>
      </c>
      <c r="F158" s="13">
        <v>22.13</v>
      </c>
      <c r="G158" s="13">
        <f>4*(D158+F158)+(9*E158)</f>
        <v>155.66</v>
      </c>
      <c r="H158" s="13">
        <v>0.16</v>
      </c>
      <c r="I158" s="13">
        <v>0.16</v>
      </c>
      <c r="J158" s="13">
        <v>0.06</v>
      </c>
      <c r="K158" s="13">
        <v>148.9</v>
      </c>
      <c r="L158" s="13">
        <v>104.3</v>
      </c>
      <c r="M158" s="13">
        <v>38.6</v>
      </c>
      <c r="N158" s="13">
        <v>82.1</v>
      </c>
      <c r="O158" s="14">
        <v>1.37</v>
      </c>
    </row>
    <row r="159" spans="1:15" s="1" customFormat="1" ht="15.75" x14ac:dyDescent="0.25">
      <c r="A159" s="11"/>
      <c r="B159" s="12" t="s">
        <v>221</v>
      </c>
      <c r="C159" s="13">
        <v>75</v>
      </c>
      <c r="D159" s="13">
        <v>3.02</v>
      </c>
      <c r="E159" s="13">
        <v>11.28</v>
      </c>
      <c r="F159" s="13">
        <v>29.41</v>
      </c>
      <c r="G159" s="13">
        <f t="shared" ref="G159" si="61">4*(D159+F159)+(9*E159)</f>
        <v>231.24</v>
      </c>
      <c r="H159" s="13">
        <v>0.03</v>
      </c>
      <c r="I159" s="13">
        <v>0.01</v>
      </c>
      <c r="J159" s="13">
        <v>1</v>
      </c>
      <c r="K159" s="13">
        <v>56.8</v>
      </c>
      <c r="L159" s="13">
        <v>102.4</v>
      </c>
      <c r="M159" s="13">
        <v>1</v>
      </c>
      <c r="N159" s="13">
        <v>118.7</v>
      </c>
      <c r="O159" s="14">
        <v>0.5</v>
      </c>
    </row>
    <row r="160" spans="1:15" ht="15.75" x14ac:dyDescent="0.25">
      <c r="A160" s="11" t="s">
        <v>144</v>
      </c>
      <c r="B160" s="12" t="s">
        <v>140</v>
      </c>
      <c r="C160" s="13">
        <v>200</v>
      </c>
      <c r="D160" s="13">
        <v>4.8</v>
      </c>
      <c r="E160" s="13">
        <v>6.62</v>
      </c>
      <c r="F160" s="13">
        <v>36.28</v>
      </c>
      <c r="G160" s="13">
        <f t="shared" ref="G160:G161" si="62">4*(D160+F160)+(9*E160)</f>
        <v>223.89999999999998</v>
      </c>
      <c r="H160" s="13">
        <v>1.6E-2</v>
      </c>
      <c r="I160" s="13">
        <v>0.14000000000000001</v>
      </c>
      <c r="J160" s="13">
        <v>18</v>
      </c>
      <c r="K160" s="13">
        <v>114</v>
      </c>
      <c r="L160" s="13">
        <v>168.7</v>
      </c>
      <c r="M160" s="13">
        <v>53.3</v>
      </c>
      <c r="N160" s="13">
        <v>163.9</v>
      </c>
      <c r="O160" s="14">
        <v>2.7</v>
      </c>
    </row>
    <row r="161" spans="1:15" ht="16.5" thickBot="1" x14ac:dyDescent="0.3">
      <c r="A161" s="11"/>
      <c r="B161" s="12" t="s">
        <v>86</v>
      </c>
      <c r="C161" s="13">
        <v>25</v>
      </c>
      <c r="D161" s="13">
        <v>1.6</v>
      </c>
      <c r="E161" s="13">
        <v>0.2</v>
      </c>
      <c r="F161" s="13">
        <v>10.4</v>
      </c>
      <c r="G161" s="13">
        <f t="shared" si="62"/>
        <v>49.8</v>
      </c>
      <c r="H161" s="13">
        <v>2.1999999999999999E-2</v>
      </c>
      <c r="I161" s="13">
        <v>0.01</v>
      </c>
      <c r="J161" s="13">
        <v>0</v>
      </c>
      <c r="K161" s="13">
        <v>0</v>
      </c>
      <c r="L161" s="13">
        <v>4.5999999999999996</v>
      </c>
      <c r="M161" s="13">
        <v>2.1</v>
      </c>
      <c r="N161" s="13">
        <v>21.2</v>
      </c>
      <c r="O161" s="14">
        <v>0.2</v>
      </c>
    </row>
    <row r="162" spans="1:15" ht="16.5" thickBot="1" x14ac:dyDescent="0.3">
      <c r="A162" s="90" t="s">
        <v>20</v>
      </c>
      <c r="B162" s="91"/>
      <c r="C162" s="9">
        <f t="shared" ref="C162:O162" si="63">SUM(C158:C161)</f>
        <v>500</v>
      </c>
      <c r="D162" s="9">
        <f t="shared" si="63"/>
        <v>16.260000000000002</v>
      </c>
      <c r="E162" s="9">
        <f t="shared" si="63"/>
        <v>22.52</v>
      </c>
      <c r="F162" s="9">
        <f t="shared" si="63"/>
        <v>98.22</v>
      </c>
      <c r="G162" s="9">
        <f t="shared" si="63"/>
        <v>660.59999999999991</v>
      </c>
      <c r="H162" s="9">
        <f t="shared" si="63"/>
        <v>0.22800000000000001</v>
      </c>
      <c r="I162" s="9">
        <f t="shared" si="63"/>
        <v>0.32000000000000006</v>
      </c>
      <c r="J162" s="9">
        <f t="shared" si="63"/>
        <v>19.059999999999999</v>
      </c>
      <c r="K162" s="9">
        <f t="shared" si="63"/>
        <v>319.7</v>
      </c>
      <c r="L162" s="9">
        <f t="shared" si="63"/>
        <v>380</v>
      </c>
      <c r="M162" s="9">
        <f t="shared" si="63"/>
        <v>95</v>
      </c>
      <c r="N162" s="9">
        <f t="shared" si="63"/>
        <v>385.90000000000003</v>
      </c>
      <c r="O162" s="10">
        <f t="shared" si="63"/>
        <v>4.7700000000000005</v>
      </c>
    </row>
    <row r="163" spans="1:15" ht="15.75" x14ac:dyDescent="0.25">
      <c r="A163" s="95" t="s">
        <v>21</v>
      </c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7"/>
    </row>
    <row r="164" spans="1:15" ht="31.5" x14ac:dyDescent="0.25">
      <c r="A164" s="39" t="s">
        <v>145</v>
      </c>
      <c r="B164" s="46" t="s">
        <v>141</v>
      </c>
      <c r="C164" s="41">
        <v>250</v>
      </c>
      <c r="D164" s="41">
        <v>8.6</v>
      </c>
      <c r="E164" s="41">
        <v>6.2</v>
      </c>
      <c r="F164" s="41">
        <v>9.6999999999999993</v>
      </c>
      <c r="G164" s="41">
        <f>4*(D164+F164)+(9*E164)</f>
        <v>129</v>
      </c>
      <c r="H164" s="41">
        <v>0.10199999999999999</v>
      </c>
      <c r="I164" s="41">
        <v>0.19</v>
      </c>
      <c r="J164" s="41">
        <v>13</v>
      </c>
      <c r="K164" s="41">
        <v>56</v>
      </c>
      <c r="L164" s="41">
        <v>47.5</v>
      </c>
      <c r="M164" s="41">
        <v>12.4</v>
      </c>
      <c r="N164" s="41">
        <v>46.4</v>
      </c>
      <c r="O164" s="42">
        <v>1.163</v>
      </c>
    </row>
    <row r="165" spans="1:15" ht="32.25" customHeight="1" x14ac:dyDescent="0.25">
      <c r="A165" s="45" t="s">
        <v>146</v>
      </c>
      <c r="B165" s="46" t="s">
        <v>233</v>
      </c>
      <c r="C165" s="47">
        <v>100</v>
      </c>
      <c r="D165" s="47">
        <v>12.41</v>
      </c>
      <c r="E165" s="47">
        <v>9.2799999999999994</v>
      </c>
      <c r="F165" s="47">
        <v>8.06</v>
      </c>
      <c r="G165" s="47">
        <f t="shared" ref="G165" si="64">4*(D165+F165)+(9*E165)</f>
        <v>165.39999999999998</v>
      </c>
      <c r="H165" s="47">
        <v>0.24</v>
      </c>
      <c r="I165" s="47">
        <v>0.03</v>
      </c>
      <c r="J165" s="47">
        <v>4.5599999999999996</v>
      </c>
      <c r="K165" s="47">
        <v>77.739999999999995</v>
      </c>
      <c r="L165" s="47">
        <v>69.5</v>
      </c>
      <c r="M165" s="47">
        <v>19.8</v>
      </c>
      <c r="N165" s="47">
        <v>51.6</v>
      </c>
      <c r="O165" s="48">
        <v>1.5</v>
      </c>
    </row>
    <row r="166" spans="1:15" ht="15.75" x14ac:dyDescent="0.25">
      <c r="A166" s="11" t="s">
        <v>232</v>
      </c>
      <c r="B166" s="12" t="s">
        <v>120</v>
      </c>
      <c r="C166" s="49">
        <v>150</v>
      </c>
      <c r="D166" s="13">
        <v>7.4</v>
      </c>
      <c r="E166" s="13">
        <v>9.1999999999999993</v>
      </c>
      <c r="F166" s="13">
        <v>51.49</v>
      </c>
      <c r="G166" s="13">
        <f t="shared" ref="G166:G169" si="65">4*(D166+F166)+(9*E166)</f>
        <v>318.36</v>
      </c>
      <c r="H166" s="13">
        <v>0.04</v>
      </c>
      <c r="I166" s="13">
        <v>0.27</v>
      </c>
      <c r="J166" s="13">
        <v>7.0000000000000007E-2</v>
      </c>
      <c r="K166" s="13">
        <v>9.1999999999999993</v>
      </c>
      <c r="L166" s="13">
        <v>52.73</v>
      </c>
      <c r="M166" s="13">
        <v>10.5</v>
      </c>
      <c r="N166" s="13">
        <v>45.62</v>
      </c>
      <c r="O166" s="14">
        <v>0.83</v>
      </c>
    </row>
    <row r="167" spans="1:15" ht="15.75" x14ac:dyDescent="0.25">
      <c r="A167" s="11" t="s">
        <v>105</v>
      </c>
      <c r="B167" s="12" t="s">
        <v>142</v>
      </c>
      <c r="C167" s="13">
        <v>180</v>
      </c>
      <c r="D167" s="13">
        <v>0.125</v>
      </c>
      <c r="E167" s="13">
        <v>0</v>
      </c>
      <c r="F167" s="13">
        <v>25.15</v>
      </c>
      <c r="G167" s="13">
        <f t="shared" si="65"/>
        <v>101.1</v>
      </c>
      <c r="H167" s="13">
        <v>0.03</v>
      </c>
      <c r="I167" s="13">
        <v>0</v>
      </c>
      <c r="J167" s="13">
        <v>7</v>
      </c>
      <c r="K167" s="13">
        <v>0</v>
      </c>
      <c r="L167" s="13">
        <v>28.6</v>
      </c>
      <c r="M167" s="13">
        <v>5.66</v>
      </c>
      <c r="N167" s="13">
        <v>29.67</v>
      </c>
      <c r="O167" s="14">
        <v>6.2E-2</v>
      </c>
    </row>
    <row r="168" spans="1:15" ht="15.75" x14ac:dyDescent="0.25">
      <c r="A168" s="11"/>
      <c r="B168" s="12" t="s">
        <v>86</v>
      </c>
      <c r="C168" s="13">
        <v>25</v>
      </c>
      <c r="D168" s="13">
        <v>1.6</v>
      </c>
      <c r="E168" s="13">
        <v>0.2</v>
      </c>
      <c r="F168" s="13">
        <v>10.4</v>
      </c>
      <c r="G168" s="13">
        <f t="shared" si="65"/>
        <v>49.8</v>
      </c>
      <c r="H168" s="13">
        <v>2.1999999999999999E-2</v>
      </c>
      <c r="I168" s="13">
        <v>0.01</v>
      </c>
      <c r="J168" s="13">
        <v>0</v>
      </c>
      <c r="K168" s="13">
        <v>0</v>
      </c>
      <c r="L168" s="13">
        <v>4.5999999999999996</v>
      </c>
      <c r="M168" s="13">
        <v>2.1</v>
      </c>
      <c r="N168" s="13">
        <v>21.2</v>
      </c>
      <c r="O168" s="14">
        <v>0.2</v>
      </c>
    </row>
    <row r="169" spans="1:15" ht="16.5" thickBot="1" x14ac:dyDescent="0.3">
      <c r="A169" s="11"/>
      <c r="B169" s="24" t="s">
        <v>92</v>
      </c>
      <c r="C169" s="25">
        <v>25</v>
      </c>
      <c r="D169" s="13">
        <v>1.3</v>
      </c>
      <c r="E169" s="13">
        <v>0.2</v>
      </c>
      <c r="F169" s="13">
        <v>8.1999999999999993</v>
      </c>
      <c r="G169" s="13">
        <f t="shared" si="65"/>
        <v>39.799999999999997</v>
      </c>
      <c r="H169" s="13">
        <v>2.1999999999999999E-2</v>
      </c>
      <c r="I169" s="13">
        <v>0.01</v>
      </c>
      <c r="J169" s="13">
        <v>0</v>
      </c>
      <c r="K169" s="13">
        <v>0</v>
      </c>
      <c r="L169" s="13">
        <v>5</v>
      </c>
      <c r="M169" s="13">
        <v>2.8</v>
      </c>
      <c r="N169" s="13">
        <v>13</v>
      </c>
      <c r="O169" s="14">
        <v>0.22</v>
      </c>
    </row>
    <row r="170" spans="1:15" ht="16.5" thickBot="1" x14ac:dyDescent="0.3">
      <c r="A170" s="90" t="s">
        <v>20</v>
      </c>
      <c r="B170" s="91"/>
      <c r="C170" s="9">
        <f>SUM(C164:C169)</f>
        <v>730</v>
      </c>
      <c r="D170" s="9">
        <f t="shared" ref="D170:O170" si="66">SUM(D164:D169)</f>
        <v>31.434999999999999</v>
      </c>
      <c r="E170" s="9">
        <f t="shared" si="66"/>
        <v>25.08</v>
      </c>
      <c r="F170" s="9">
        <f t="shared" si="66"/>
        <v>113.00000000000001</v>
      </c>
      <c r="G170" s="9">
        <f t="shared" si="66"/>
        <v>803.45999999999992</v>
      </c>
      <c r="H170" s="9">
        <f t="shared" si="66"/>
        <v>0.45599999999999996</v>
      </c>
      <c r="I170" s="9">
        <f t="shared" si="66"/>
        <v>0.51</v>
      </c>
      <c r="J170" s="9">
        <f t="shared" si="66"/>
        <v>24.63</v>
      </c>
      <c r="K170" s="9">
        <f t="shared" si="66"/>
        <v>142.94</v>
      </c>
      <c r="L170" s="9">
        <f t="shared" si="66"/>
        <v>207.92999999999998</v>
      </c>
      <c r="M170" s="9">
        <f t="shared" si="66"/>
        <v>53.26</v>
      </c>
      <c r="N170" s="9">
        <f t="shared" si="66"/>
        <v>207.49</v>
      </c>
      <c r="O170" s="10">
        <f t="shared" si="66"/>
        <v>3.9750000000000005</v>
      </c>
    </row>
    <row r="171" spans="1:15" ht="15.75" x14ac:dyDescent="0.25">
      <c r="A171" s="95" t="s">
        <v>22</v>
      </c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7"/>
    </row>
    <row r="172" spans="1:15" ht="15.75" x14ac:dyDescent="0.25">
      <c r="A172" s="11" t="s">
        <v>106</v>
      </c>
      <c r="B172" s="12" t="s">
        <v>143</v>
      </c>
      <c r="C172" s="13">
        <v>50</v>
      </c>
      <c r="D172" s="13">
        <v>3.46</v>
      </c>
      <c r="E172" s="13">
        <v>6.89</v>
      </c>
      <c r="F172" s="13">
        <v>20.38</v>
      </c>
      <c r="G172" s="13">
        <f>4*(D172+F172)+(9*E172)</f>
        <v>157.37</v>
      </c>
      <c r="H172" s="13">
        <v>0.16</v>
      </c>
      <c r="I172" s="13">
        <v>0.2</v>
      </c>
      <c r="J172" s="13">
        <v>2</v>
      </c>
      <c r="K172" s="13">
        <v>72</v>
      </c>
      <c r="L172" s="13">
        <v>90</v>
      </c>
      <c r="M172" s="13">
        <v>9.1999999999999993</v>
      </c>
      <c r="N172" s="13">
        <v>41.7</v>
      </c>
      <c r="O172" s="14">
        <v>0.1</v>
      </c>
    </row>
    <row r="173" spans="1:15" ht="16.5" thickBot="1" x14ac:dyDescent="0.3">
      <c r="A173" s="11"/>
      <c r="B173" s="24" t="s">
        <v>102</v>
      </c>
      <c r="C173" s="25">
        <v>200</v>
      </c>
      <c r="D173" s="25">
        <v>5.6</v>
      </c>
      <c r="E173" s="25">
        <v>5</v>
      </c>
      <c r="F173" s="25">
        <v>18.989999999999998</v>
      </c>
      <c r="G173" s="13">
        <f>4*(D173+F173)+(9*E173)</f>
        <v>143.35999999999999</v>
      </c>
      <c r="H173" s="25">
        <v>0.06</v>
      </c>
      <c r="I173" s="25">
        <v>0.02</v>
      </c>
      <c r="J173" s="25">
        <v>0.01</v>
      </c>
      <c r="K173" s="25">
        <v>1.2</v>
      </c>
      <c r="L173" s="25">
        <v>148</v>
      </c>
      <c r="M173" s="25">
        <v>30</v>
      </c>
      <c r="N173" s="25">
        <v>190</v>
      </c>
      <c r="O173" s="26">
        <v>0.2</v>
      </c>
    </row>
    <row r="174" spans="1:15" ht="16.5" thickBot="1" x14ac:dyDescent="0.3">
      <c r="A174" s="90" t="s">
        <v>20</v>
      </c>
      <c r="B174" s="91"/>
      <c r="C174" s="27">
        <v>250</v>
      </c>
      <c r="D174" s="9">
        <f>SUM(D172:D173)</f>
        <v>9.0599999999999987</v>
      </c>
      <c r="E174" s="9">
        <f t="shared" ref="E174:O174" si="67">SUM(E172:E173)</f>
        <v>11.89</v>
      </c>
      <c r="F174" s="9">
        <f t="shared" si="67"/>
        <v>39.369999999999997</v>
      </c>
      <c r="G174" s="9">
        <f t="shared" si="67"/>
        <v>300.73</v>
      </c>
      <c r="H174" s="9">
        <f t="shared" si="67"/>
        <v>0.22</v>
      </c>
      <c r="I174" s="9">
        <f t="shared" si="67"/>
        <v>0.22</v>
      </c>
      <c r="J174" s="9">
        <f t="shared" si="67"/>
        <v>2.0099999999999998</v>
      </c>
      <c r="K174" s="9">
        <f t="shared" si="67"/>
        <v>73.2</v>
      </c>
      <c r="L174" s="9">
        <f t="shared" si="67"/>
        <v>238</v>
      </c>
      <c r="M174" s="9">
        <f t="shared" si="67"/>
        <v>39.200000000000003</v>
      </c>
      <c r="N174" s="9">
        <f t="shared" si="67"/>
        <v>231.7</v>
      </c>
      <c r="O174" s="10">
        <f t="shared" si="67"/>
        <v>0.30000000000000004</v>
      </c>
    </row>
    <row r="175" spans="1:15" ht="16.5" thickBot="1" x14ac:dyDescent="0.3">
      <c r="A175" s="28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30"/>
    </row>
    <row r="176" spans="1:15" ht="16.5" thickBot="1" x14ac:dyDescent="0.3">
      <c r="A176" s="90" t="s">
        <v>44</v>
      </c>
      <c r="B176" s="91"/>
      <c r="C176" s="9">
        <f t="shared" ref="C176:O176" si="68">C174+C170+C162</f>
        <v>1480</v>
      </c>
      <c r="D176" s="31">
        <f t="shared" si="68"/>
        <v>56.754999999999995</v>
      </c>
      <c r="E176" s="31">
        <f t="shared" si="68"/>
        <v>59.489999999999995</v>
      </c>
      <c r="F176" s="31">
        <f t="shared" si="68"/>
        <v>250.59</v>
      </c>
      <c r="G176" s="31">
        <f t="shared" si="68"/>
        <v>1764.79</v>
      </c>
      <c r="H176" s="9">
        <f t="shared" si="68"/>
        <v>0.90399999999999991</v>
      </c>
      <c r="I176" s="9">
        <f t="shared" si="68"/>
        <v>1.05</v>
      </c>
      <c r="J176" s="9">
        <f t="shared" si="68"/>
        <v>45.7</v>
      </c>
      <c r="K176" s="9">
        <f t="shared" si="68"/>
        <v>535.83999999999992</v>
      </c>
      <c r="L176" s="9">
        <f t="shared" si="68"/>
        <v>825.93</v>
      </c>
      <c r="M176" s="9">
        <f t="shared" si="68"/>
        <v>187.46</v>
      </c>
      <c r="N176" s="9">
        <f t="shared" si="68"/>
        <v>825.09</v>
      </c>
      <c r="O176" s="10">
        <f t="shared" si="68"/>
        <v>9.0450000000000017</v>
      </c>
    </row>
    <row r="177" spans="1:15" s="1" customFormat="1" ht="15.75" x14ac:dyDescent="0.25">
      <c r="A177" s="32"/>
      <c r="B177" s="32"/>
      <c r="C177" s="34"/>
      <c r="D177" s="33"/>
      <c r="E177" s="33"/>
      <c r="F177" s="33"/>
      <c r="G177" s="33"/>
      <c r="H177" s="34"/>
      <c r="I177" s="34"/>
      <c r="J177" s="34"/>
      <c r="K177" s="34"/>
      <c r="L177" s="34"/>
      <c r="M177" s="34"/>
      <c r="N177" s="34"/>
      <c r="O177" s="34"/>
    </row>
    <row r="178" spans="1:15" s="1" customFormat="1" x14ac:dyDescent="0.25">
      <c r="A178" s="87" t="s">
        <v>209</v>
      </c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</row>
    <row r="179" spans="1:15" s="1" customFormat="1" ht="15.75" x14ac:dyDescent="0.25">
      <c r="A179" s="32"/>
      <c r="B179" s="32"/>
      <c r="C179" s="34"/>
      <c r="D179" s="33"/>
      <c r="E179" s="33"/>
      <c r="F179" s="33"/>
      <c r="G179" s="33"/>
      <c r="H179" s="34"/>
      <c r="I179" s="34"/>
      <c r="J179" s="34"/>
      <c r="K179" s="34"/>
      <c r="L179" s="34"/>
      <c r="M179" s="34"/>
      <c r="N179" s="34"/>
      <c r="O179" s="34"/>
    </row>
    <row r="180" spans="1:15" s="1" customFormat="1" x14ac:dyDescent="0.25">
      <c r="A180" s="88" t="s">
        <v>208</v>
      </c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</row>
    <row r="181" spans="1:15" s="1" customFormat="1" ht="15.75" x14ac:dyDescent="0.25">
      <c r="A181" s="32"/>
      <c r="B181" s="32"/>
      <c r="C181" s="34"/>
      <c r="D181" s="33"/>
      <c r="E181" s="33"/>
      <c r="F181" s="33"/>
      <c r="G181" s="33"/>
      <c r="H181" s="34"/>
      <c r="I181" s="34"/>
      <c r="J181" s="34"/>
      <c r="K181" s="34"/>
      <c r="L181" s="34"/>
      <c r="M181" s="34"/>
      <c r="N181" s="34"/>
      <c r="O181" s="34"/>
    </row>
    <row r="182" spans="1:15" s="1" customFormat="1" ht="16.5" thickBot="1" x14ac:dyDescent="0.3">
      <c r="A182" s="32"/>
      <c r="B182" s="32"/>
      <c r="C182" s="34"/>
      <c r="D182" s="33"/>
      <c r="E182" s="33"/>
      <c r="F182" s="33"/>
      <c r="G182" s="33"/>
      <c r="H182" s="34"/>
      <c r="I182" s="34"/>
      <c r="J182" s="34"/>
      <c r="K182" s="34"/>
      <c r="L182" s="34"/>
      <c r="M182" s="34"/>
      <c r="N182" s="34"/>
      <c r="O182" s="34"/>
    </row>
    <row r="183" spans="1:15" s="1" customFormat="1" ht="15" customHeight="1" x14ac:dyDescent="0.25">
      <c r="A183" s="98" t="s">
        <v>0</v>
      </c>
      <c r="B183" s="100" t="s">
        <v>1</v>
      </c>
      <c r="C183" s="102" t="s">
        <v>2</v>
      </c>
      <c r="D183" s="104" t="s">
        <v>3</v>
      </c>
      <c r="E183" s="105"/>
      <c r="F183" s="106"/>
      <c r="G183" s="102" t="s">
        <v>4</v>
      </c>
      <c r="H183" s="107" t="s">
        <v>5</v>
      </c>
      <c r="I183" s="107"/>
      <c r="J183" s="107"/>
      <c r="K183" s="107"/>
      <c r="L183" s="108" t="s">
        <v>6</v>
      </c>
      <c r="M183" s="109"/>
      <c r="N183" s="109"/>
      <c r="O183" s="110"/>
    </row>
    <row r="184" spans="1:15" ht="48" customHeight="1" thickBot="1" x14ac:dyDescent="0.3">
      <c r="A184" s="99"/>
      <c r="B184" s="101"/>
      <c r="C184" s="103"/>
      <c r="D184" s="35" t="s">
        <v>7</v>
      </c>
      <c r="E184" s="35" t="s">
        <v>8</v>
      </c>
      <c r="F184" s="35" t="s">
        <v>9</v>
      </c>
      <c r="G184" s="103"/>
      <c r="H184" s="36" t="s">
        <v>10</v>
      </c>
      <c r="I184" s="36" t="s">
        <v>16</v>
      </c>
      <c r="J184" s="36" t="s">
        <v>11</v>
      </c>
      <c r="K184" s="36" t="s">
        <v>17</v>
      </c>
      <c r="L184" s="37" t="s">
        <v>12</v>
      </c>
      <c r="M184" s="36" t="s">
        <v>13</v>
      </c>
      <c r="N184" s="36" t="s">
        <v>14</v>
      </c>
      <c r="O184" s="38" t="s">
        <v>15</v>
      </c>
    </row>
    <row r="185" spans="1:15" ht="15.75" x14ac:dyDescent="0.25">
      <c r="A185" s="84" t="s">
        <v>31</v>
      </c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6"/>
    </row>
    <row r="186" spans="1:15" ht="15.75" x14ac:dyDescent="0.25">
      <c r="A186" s="92" t="s">
        <v>19</v>
      </c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4"/>
    </row>
    <row r="187" spans="1:15" ht="31.5" x14ac:dyDescent="0.25">
      <c r="A187" s="39" t="s">
        <v>151</v>
      </c>
      <c r="B187" s="46" t="s">
        <v>234</v>
      </c>
      <c r="C187" s="41">
        <v>150</v>
      </c>
      <c r="D187" s="41">
        <v>19.3</v>
      </c>
      <c r="E187" s="41">
        <v>12.9</v>
      </c>
      <c r="F187" s="41">
        <v>23.5</v>
      </c>
      <c r="G187" s="41">
        <f>4*(D187+F187)+(9*E187)</f>
        <v>287.3</v>
      </c>
      <c r="H187" s="41">
        <v>0.5</v>
      </c>
      <c r="I187" s="41">
        <v>0.11700000000000001</v>
      </c>
      <c r="J187" s="41">
        <v>29</v>
      </c>
      <c r="K187" s="41">
        <v>137</v>
      </c>
      <c r="L187" s="41">
        <v>209</v>
      </c>
      <c r="M187" s="41">
        <v>29.3</v>
      </c>
      <c r="N187" s="41">
        <v>198</v>
      </c>
      <c r="O187" s="42">
        <v>1.45</v>
      </c>
    </row>
    <row r="188" spans="1:15" ht="15.75" x14ac:dyDescent="0.25">
      <c r="A188" s="11"/>
      <c r="B188" s="24" t="s">
        <v>270</v>
      </c>
      <c r="C188" s="25">
        <v>90</v>
      </c>
      <c r="D188" s="25">
        <v>2.52</v>
      </c>
      <c r="E188" s="25">
        <v>2.25</v>
      </c>
      <c r="F188" s="25">
        <v>18.55</v>
      </c>
      <c r="G188" s="13">
        <f>4*(D188+F188)+(9*E188)</f>
        <v>104.53</v>
      </c>
      <c r="H188" s="25">
        <v>2.7E-2</v>
      </c>
      <c r="I188" s="25">
        <v>0.01</v>
      </c>
      <c r="J188" s="25">
        <v>5.0000000000000001E-3</v>
      </c>
      <c r="K188" s="25">
        <v>3.54</v>
      </c>
      <c r="L188" s="25">
        <v>66.599999999999994</v>
      </c>
      <c r="M188" s="25">
        <v>13.5</v>
      </c>
      <c r="N188" s="25">
        <v>85.5</v>
      </c>
      <c r="O188" s="26">
        <v>0.09</v>
      </c>
    </row>
    <row r="189" spans="1:15" ht="15.75" x14ac:dyDescent="0.25">
      <c r="A189" s="11" t="s">
        <v>89</v>
      </c>
      <c r="B189" s="12" t="s">
        <v>84</v>
      </c>
      <c r="C189" s="13">
        <v>200</v>
      </c>
      <c r="D189" s="13">
        <v>0.05</v>
      </c>
      <c r="E189" s="13">
        <v>0.02</v>
      </c>
      <c r="F189" s="13">
        <v>9.32</v>
      </c>
      <c r="G189" s="13">
        <f t="shared" ref="G189:G190" si="69">4*(D189+F189)+(9*E189)</f>
        <v>37.660000000000004</v>
      </c>
      <c r="H189" s="13">
        <v>0</v>
      </c>
      <c r="I189" s="13">
        <v>0</v>
      </c>
      <c r="J189" s="13">
        <v>0.02</v>
      </c>
      <c r="K189" s="13">
        <v>0</v>
      </c>
      <c r="L189" s="13">
        <v>8</v>
      </c>
      <c r="M189" s="13">
        <v>0.9</v>
      </c>
      <c r="N189" s="13">
        <v>1.6</v>
      </c>
      <c r="O189" s="14">
        <v>0.19</v>
      </c>
    </row>
    <row r="190" spans="1:15" ht="16.5" thickBot="1" x14ac:dyDescent="0.3">
      <c r="A190" s="11"/>
      <c r="B190" s="12" t="s">
        <v>86</v>
      </c>
      <c r="C190" s="13">
        <v>50</v>
      </c>
      <c r="D190" s="13">
        <v>3.2</v>
      </c>
      <c r="E190" s="13">
        <v>0.4</v>
      </c>
      <c r="F190" s="13">
        <v>20.8</v>
      </c>
      <c r="G190" s="13">
        <f t="shared" si="69"/>
        <v>99.6</v>
      </c>
      <c r="H190" s="13">
        <v>4.3999999999999997E-2</v>
      </c>
      <c r="I190" s="13">
        <v>0.02</v>
      </c>
      <c r="J190" s="13">
        <v>0</v>
      </c>
      <c r="K190" s="13">
        <v>0</v>
      </c>
      <c r="L190" s="13">
        <v>9.1999999999999993</v>
      </c>
      <c r="M190" s="13">
        <v>4.2</v>
      </c>
      <c r="N190" s="13">
        <v>42.4</v>
      </c>
      <c r="O190" s="14">
        <v>0.4</v>
      </c>
    </row>
    <row r="191" spans="1:15" ht="16.5" thickBot="1" x14ac:dyDescent="0.3">
      <c r="A191" s="90" t="s">
        <v>20</v>
      </c>
      <c r="B191" s="91"/>
      <c r="C191" s="9">
        <f t="shared" ref="C191:O191" si="70">SUM(C187:C190)</f>
        <v>490</v>
      </c>
      <c r="D191" s="9">
        <f t="shared" si="70"/>
        <v>25.07</v>
      </c>
      <c r="E191" s="9">
        <f t="shared" si="70"/>
        <v>15.57</v>
      </c>
      <c r="F191" s="9">
        <f t="shared" si="70"/>
        <v>72.17</v>
      </c>
      <c r="G191" s="9">
        <f t="shared" si="70"/>
        <v>529.09</v>
      </c>
      <c r="H191" s="9">
        <f t="shared" si="70"/>
        <v>0.57100000000000006</v>
      </c>
      <c r="I191" s="9">
        <f t="shared" si="70"/>
        <v>0.14699999999999999</v>
      </c>
      <c r="J191" s="9">
        <f t="shared" si="70"/>
        <v>29.024999999999999</v>
      </c>
      <c r="K191" s="9">
        <f t="shared" si="70"/>
        <v>140.54</v>
      </c>
      <c r="L191" s="9">
        <f t="shared" si="70"/>
        <v>292.8</v>
      </c>
      <c r="M191" s="9">
        <f t="shared" si="70"/>
        <v>47.9</v>
      </c>
      <c r="N191" s="9">
        <f t="shared" si="70"/>
        <v>327.5</v>
      </c>
      <c r="O191" s="10">
        <f t="shared" si="70"/>
        <v>2.13</v>
      </c>
    </row>
    <row r="192" spans="1:15" ht="15.75" x14ac:dyDescent="0.25">
      <c r="A192" s="95" t="s">
        <v>21</v>
      </c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7"/>
    </row>
    <row r="193" spans="1:15" ht="15.75" x14ac:dyDescent="0.25">
      <c r="A193" s="11" t="s">
        <v>165</v>
      </c>
      <c r="B193" s="12" t="s">
        <v>155</v>
      </c>
      <c r="C193" s="13">
        <v>250</v>
      </c>
      <c r="D193" s="13">
        <v>7.82</v>
      </c>
      <c r="E193" s="13">
        <v>10.55</v>
      </c>
      <c r="F193" s="13">
        <v>24.56</v>
      </c>
      <c r="G193" s="13">
        <f>4*(D193+F193)+(9*E193)</f>
        <v>224.46999999999997</v>
      </c>
      <c r="H193" s="13">
        <v>0.13</v>
      </c>
      <c r="I193" s="13">
        <v>9.8000000000000004E-2</v>
      </c>
      <c r="J193" s="13">
        <v>0.04</v>
      </c>
      <c r="K193" s="13">
        <v>84</v>
      </c>
      <c r="L193" s="13">
        <v>122.09</v>
      </c>
      <c r="M193" s="13">
        <v>38.9</v>
      </c>
      <c r="N193" s="13">
        <v>104.4</v>
      </c>
      <c r="O193" s="14">
        <v>0.68</v>
      </c>
    </row>
    <row r="194" spans="1:15" ht="15.75" x14ac:dyDescent="0.25">
      <c r="A194" s="11" t="s">
        <v>126</v>
      </c>
      <c r="B194" s="12" t="s">
        <v>194</v>
      </c>
      <c r="C194" s="13">
        <v>100</v>
      </c>
      <c r="D194" s="13">
        <v>8.89</v>
      </c>
      <c r="E194" s="13">
        <v>11.95</v>
      </c>
      <c r="F194" s="13">
        <v>19.600000000000001</v>
      </c>
      <c r="G194" s="13">
        <f t="shared" ref="G194:G198" si="71">4*(D194+F194)+(9*E194)</f>
        <v>221.51</v>
      </c>
      <c r="H194" s="13">
        <v>0.03</v>
      </c>
      <c r="I194" s="13">
        <v>0.5</v>
      </c>
      <c r="J194" s="13">
        <v>13</v>
      </c>
      <c r="K194" s="13">
        <v>118</v>
      </c>
      <c r="L194" s="13">
        <v>74.3</v>
      </c>
      <c r="M194" s="13">
        <v>23.3</v>
      </c>
      <c r="N194" s="13">
        <v>102.4</v>
      </c>
      <c r="O194" s="14">
        <v>2.23</v>
      </c>
    </row>
    <row r="195" spans="1:15" ht="15.75" x14ac:dyDescent="0.25">
      <c r="A195" s="39" t="s">
        <v>229</v>
      </c>
      <c r="B195" s="46" t="s">
        <v>240</v>
      </c>
      <c r="C195" s="41">
        <v>150</v>
      </c>
      <c r="D195" s="21">
        <v>4.3899999999999997</v>
      </c>
      <c r="E195" s="21">
        <v>9.0500000000000007</v>
      </c>
      <c r="F195" s="21">
        <v>21.5</v>
      </c>
      <c r="G195" s="21">
        <f t="shared" si="71"/>
        <v>185.01</v>
      </c>
      <c r="H195" s="21">
        <v>0.01</v>
      </c>
      <c r="I195" s="21">
        <v>7.0000000000000007E-2</v>
      </c>
      <c r="J195" s="21">
        <v>6.1</v>
      </c>
      <c r="K195" s="21">
        <v>87.6</v>
      </c>
      <c r="L195" s="21">
        <v>89.1</v>
      </c>
      <c r="M195" s="21">
        <v>26.4</v>
      </c>
      <c r="N195" s="21">
        <v>72.8</v>
      </c>
      <c r="O195" s="22">
        <v>1.8109999999999999</v>
      </c>
    </row>
    <row r="196" spans="1:15" ht="31.5" x14ac:dyDescent="0.25">
      <c r="A196" s="39" t="s">
        <v>105</v>
      </c>
      <c r="B196" s="46" t="s">
        <v>149</v>
      </c>
      <c r="C196" s="41">
        <v>180</v>
      </c>
      <c r="D196" s="41">
        <v>0.125</v>
      </c>
      <c r="E196" s="41">
        <v>1.2</v>
      </c>
      <c r="F196" s="41">
        <v>35.15</v>
      </c>
      <c r="G196" s="41">
        <f t="shared" si="71"/>
        <v>151.9</v>
      </c>
      <c r="H196" s="41">
        <v>0.03</v>
      </c>
      <c r="I196" s="41">
        <v>0.17</v>
      </c>
      <c r="J196" s="41">
        <v>0</v>
      </c>
      <c r="K196" s="41">
        <v>7</v>
      </c>
      <c r="L196" s="41">
        <v>37.6</v>
      </c>
      <c r="M196" s="41">
        <v>15.66</v>
      </c>
      <c r="N196" s="41">
        <v>41.67</v>
      </c>
      <c r="O196" s="42">
        <v>0.6</v>
      </c>
    </row>
    <row r="197" spans="1:15" ht="15.75" x14ac:dyDescent="0.25">
      <c r="A197" s="11"/>
      <c r="B197" s="12" t="s">
        <v>86</v>
      </c>
      <c r="C197" s="13">
        <v>25</v>
      </c>
      <c r="D197" s="13">
        <v>1.6</v>
      </c>
      <c r="E197" s="13">
        <v>0.2</v>
      </c>
      <c r="F197" s="13">
        <v>10.4</v>
      </c>
      <c r="G197" s="13">
        <f t="shared" si="71"/>
        <v>49.8</v>
      </c>
      <c r="H197" s="13">
        <v>2.1999999999999999E-2</v>
      </c>
      <c r="I197" s="13">
        <v>0.01</v>
      </c>
      <c r="J197" s="13">
        <v>0</v>
      </c>
      <c r="K197" s="13">
        <v>0</v>
      </c>
      <c r="L197" s="13">
        <v>5.6</v>
      </c>
      <c r="M197" s="13">
        <v>2.1</v>
      </c>
      <c r="N197" s="13">
        <v>21.2</v>
      </c>
      <c r="O197" s="14">
        <v>0.2</v>
      </c>
    </row>
    <row r="198" spans="1:15" ht="16.5" thickBot="1" x14ac:dyDescent="0.3">
      <c r="A198" s="23"/>
      <c r="B198" s="24" t="s">
        <v>92</v>
      </c>
      <c r="C198" s="25">
        <v>25</v>
      </c>
      <c r="D198" s="13">
        <v>1.3</v>
      </c>
      <c r="E198" s="13">
        <v>0.2</v>
      </c>
      <c r="F198" s="13">
        <v>8.1999999999999993</v>
      </c>
      <c r="G198" s="13">
        <f t="shared" si="71"/>
        <v>39.799999999999997</v>
      </c>
      <c r="H198" s="13">
        <v>2.1999999999999999E-2</v>
      </c>
      <c r="I198" s="13">
        <v>0.01</v>
      </c>
      <c r="J198" s="13">
        <v>0</v>
      </c>
      <c r="K198" s="13">
        <v>0</v>
      </c>
      <c r="L198" s="13">
        <v>5</v>
      </c>
      <c r="M198" s="13">
        <v>2.8</v>
      </c>
      <c r="N198" s="13">
        <v>13</v>
      </c>
      <c r="O198" s="14">
        <v>0.22</v>
      </c>
    </row>
    <row r="199" spans="1:15" ht="16.5" thickBot="1" x14ac:dyDescent="0.3">
      <c r="A199" s="90" t="s">
        <v>20</v>
      </c>
      <c r="B199" s="91"/>
      <c r="C199" s="9">
        <f t="shared" ref="C199:O199" si="72">SUM(C193:C198)</f>
        <v>730</v>
      </c>
      <c r="D199" s="9">
        <f t="shared" si="72"/>
        <v>24.125000000000004</v>
      </c>
      <c r="E199" s="9">
        <f t="shared" si="72"/>
        <v>33.150000000000006</v>
      </c>
      <c r="F199" s="9">
        <f t="shared" si="72"/>
        <v>119.41000000000001</v>
      </c>
      <c r="G199" s="9">
        <f t="shared" si="72"/>
        <v>872.4899999999999</v>
      </c>
      <c r="H199" s="9">
        <f t="shared" si="72"/>
        <v>0.24399999999999999</v>
      </c>
      <c r="I199" s="9">
        <f t="shared" si="72"/>
        <v>0.85799999999999998</v>
      </c>
      <c r="J199" s="9">
        <f t="shared" si="72"/>
        <v>19.14</v>
      </c>
      <c r="K199" s="9">
        <f t="shared" si="72"/>
        <v>296.60000000000002</v>
      </c>
      <c r="L199" s="9">
        <f t="shared" si="72"/>
        <v>333.69000000000005</v>
      </c>
      <c r="M199" s="9">
        <f t="shared" si="72"/>
        <v>109.15999999999998</v>
      </c>
      <c r="N199" s="9">
        <f t="shared" si="72"/>
        <v>355.47</v>
      </c>
      <c r="O199" s="10">
        <f t="shared" si="72"/>
        <v>5.7409999999999997</v>
      </c>
    </row>
    <row r="200" spans="1:15" ht="15.75" x14ac:dyDescent="0.25">
      <c r="A200" s="95" t="s">
        <v>22</v>
      </c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7"/>
    </row>
    <row r="201" spans="1:15" ht="15.75" x14ac:dyDescent="0.25">
      <c r="A201" s="11" t="s">
        <v>107</v>
      </c>
      <c r="B201" s="12" t="s">
        <v>122</v>
      </c>
      <c r="C201" s="13">
        <v>75</v>
      </c>
      <c r="D201" s="13">
        <v>11.95</v>
      </c>
      <c r="E201" s="13">
        <v>8.25</v>
      </c>
      <c r="F201" s="13">
        <v>49.8</v>
      </c>
      <c r="G201" s="13">
        <f>4*(D201+F201)+(9*E201)</f>
        <v>321.25</v>
      </c>
      <c r="H201" s="13">
        <v>9.1999999999999998E-2</v>
      </c>
      <c r="I201" s="13">
        <v>0.1</v>
      </c>
      <c r="J201" s="13">
        <v>1.18</v>
      </c>
      <c r="K201" s="13">
        <v>87.9</v>
      </c>
      <c r="L201" s="13">
        <v>191</v>
      </c>
      <c r="M201" s="13">
        <v>29</v>
      </c>
      <c r="N201" s="13">
        <v>141</v>
      </c>
      <c r="O201" s="14">
        <v>1</v>
      </c>
    </row>
    <row r="202" spans="1:15" ht="16.5" thickBot="1" x14ac:dyDescent="0.3">
      <c r="A202" s="11" t="s">
        <v>89</v>
      </c>
      <c r="B202" s="12" t="s">
        <v>84</v>
      </c>
      <c r="C202" s="13">
        <v>200</v>
      </c>
      <c r="D202" s="13">
        <v>0.05</v>
      </c>
      <c r="E202" s="13">
        <v>0.02</v>
      </c>
      <c r="F202" s="13">
        <v>9.32</v>
      </c>
      <c r="G202" s="13">
        <f t="shared" ref="G202" si="73">4*(D202+F202)+(9*E202)</f>
        <v>37.660000000000004</v>
      </c>
      <c r="H202" s="13">
        <v>0</v>
      </c>
      <c r="I202" s="13">
        <v>0</v>
      </c>
      <c r="J202" s="13">
        <v>0.02</v>
      </c>
      <c r="K202" s="13">
        <v>0</v>
      </c>
      <c r="L202" s="13">
        <v>8</v>
      </c>
      <c r="M202" s="13">
        <v>0.9</v>
      </c>
      <c r="N202" s="13">
        <v>1.6</v>
      </c>
      <c r="O202" s="14">
        <v>0.19</v>
      </c>
    </row>
    <row r="203" spans="1:15" ht="16.5" thickBot="1" x14ac:dyDescent="0.3">
      <c r="A203" s="90" t="s">
        <v>20</v>
      </c>
      <c r="B203" s="91"/>
      <c r="C203" s="27">
        <f>SUM(C201:C202)</f>
        <v>275</v>
      </c>
      <c r="D203" s="9">
        <f>SUM(D201:D202)</f>
        <v>12</v>
      </c>
      <c r="E203" s="9">
        <f t="shared" ref="E203:O203" si="74">SUM(E201:E202)</f>
        <v>8.27</v>
      </c>
      <c r="F203" s="9">
        <f t="shared" si="74"/>
        <v>59.12</v>
      </c>
      <c r="G203" s="9">
        <f t="shared" si="74"/>
        <v>358.91</v>
      </c>
      <c r="H203" s="9">
        <f t="shared" si="74"/>
        <v>9.1999999999999998E-2</v>
      </c>
      <c r="I203" s="9">
        <f t="shared" si="74"/>
        <v>0.1</v>
      </c>
      <c r="J203" s="9">
        <f t="shared" si="74"/>
        <v>1.2</v>
      </c>
      <c r="K203" s="9">
        <f t="shared" si="74"/>
        <v>87.9</v>
      </c>
      <c r="L203" s="9">
        <f t="shared" si="74"/>
        <v>199</v>
      </c>
      <c r="M203" s="9">
        <f t="shared" si="74"/>
        <v>29.9</v>
      </c>
      <c r="N203" s="9">
        <f t="shared" si="74"/>
        <v>142.6</v>
      </c>
      <c r="O203" s="10">
        <f t="shared" si="74"/>
        <v>1.19</v>
      </c>
    </row>
    <row r="204" spans="1:15" ht="16.5" thickBot="1" x14ac:dyDescent="0.3">
      <c r="A204" s="28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30"/>
    </row>
    <row r="205" spans="1:15" ht="16.5" thickBot="1" x14ac:dyDescent="0.3">
      <c r="A205" s="90" t="s">
        <v>43</v>
      </c>
      <c r="B205" s="91"/>
      <c r="C205" s="9">
        <f t="shared" ref="C205:O205" si="75">C203+C199+C191</f>
        <v>1495</v>
      </c>
      <c r="D205" s="31">
        <f t="shared" si="75"/>
        <v>61.195</v>
      </c>
      <c r="E205" s="31">
        <f t="shared" si="75"/>
        <v>56.99</v>
      </c>
      <c r="F205" s="31">
        <f t="shared" si="75"/>
        <v>250.7</v>
      </c>
      <c r="G205" s="31">
        <f t="shared" si="75"/>
        <v>1760.4899999999998</v>
      </c>
      <c r="H205" s="9">
        <f t="shared" si="75"/>
        <v>0.90700000000000003</v>
      </c>
      <c r="I205" s="9">
        <f t="shared" si="75"/>
        <v>1.105</v>
      </c>
      <c r="J205" s="9">
        <f t="shared" si="75"/>
        <v>49.364999999999995</v>
      </c>
      <c r="K205" s="9">
        <f t="shared" si="75"/>
        <v>525.04</v>
      </c>
      <c r="L205" s="9">
        <f t="shared" si="75"/>
        <v>825.49</v>
      </c>
      <c r="M205" s="9">
        <f t="shared" si="75"/>
        <v>186.95999999999998</v>
      </c>
      <c r="N205" s="9">
        <f t="shared" si="75"/>
        <v>825.57</v>
      </c>
      <c r="O205" s="10">
        <f t="shared" si="75"/>
        <v>9.0609999999999999</v>
      </c>
    </row>
    <row r="206" spans="1:15" s="1" customFormat="1" ht="15.75" x14ac:dyDescent="0.25">
      <c r="A206" s="32"/>
      <c r="B206" s="32"/>
      <c r="C206" s="34"/>
      <c r="D206" s="33"/>
      <c r="E206" s="33"/>
      <c r="F206" s="33"/>
      <c r="G206" s="33"/>
      <c r="H206" s="34"/>
      <c r="I206" s="34"/>
      <c r="J206" s="34"/>
      <c r="K206" s="34"/>
      <c r="L206" s="34"/>
      <c r="M206" s="34"/>
      <c r="N206" s="34"/>
      <c r="O206" s="34"/>
    </row>
    <row r="207" spans="1:15" s="1" customFormat="1" x14ac:dyDescent="0.25">
      <c r="A207" s="87" t="s">
        <v>209</v>
      </c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</row>
    <row r="208" spans="1:15" s="1" customFormat="1" ht="15.75" x14ac:dyDescent="0.25">
      <c r="A208" s="32"/>
      <c r="B208" s="32"/>
      <c r="C208" s="34"/>
      <c r="D208" s="33"/>
      <c r="E208" s="33"/>
      <c r="F208" s="33"/>
      <c r="G208" s="33"/>
      <c r="H208" s="34"/>
      <c r="I208" s="34"/>
      <c r="J208" s="34"/>
      <c r="K208" s="34"/>
      <c r="L208" s="34"/>
      <c r="M208" s="34"/>
      <c r="N208" s="34"/>
      <c r="O208" s="34"/>
    </row>
    <row r="209" spans="1:15" s="1" customFormat="1" x14ac:dyDescent="0.25">
      <c r="A209" s="88" t="s">
        <v>208</v>
      </c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</row>
    <row r="210" spans="1:15" s="1" customFormat="1" ht="15.75" x14ac:dyDescent="0.25">
      <c r="A210" s="32"/>
      <c r="B210" s="32"/>
      <c r="C210" s="34"/>
      <c r="D210" s="33"/>
      <c r="E210" s="33"/>
      <c r="F210" s="33"/>
      <c r="G210" s="33"/>
      <c r="H210" s="34"/>
      <c r="I210" s="34"/>
      <c r="J210" s="34"/>
      <c r="K210" s="34"/>
      <c r="L210" s="34"/>
      <c r="M210" s="34"/>
      <c r="N210" s="34"/>
      <c r="O210" s="34"/>
    </row>
    <row r="211" spans="1:15" s="1" customFormat="1" ht="16.5" thickBot="1" x14ac:dyDescent="0.3">
      <c r="A211" s="32"/>
      <c r="B211" s="32"/>
      <c r="C211" s="34"/>
      <c r="D211" s="33"/>
      <c r="E211" s="33"/>
      <c r="F211" s="33"/>
      <c r="G211" s="33"/>
      <c r="H211" s="34"/>
      <c r="I211" s="34"/>
      <c r="J211" s="34"/>
      <c r="K211" s="34"/>
      <c r="L211" s="34"/>
      <c r="M211" s="34"/>
      <c r="N211" s="34"/>
      <c r="O211" s="34"/>
    </row>
    <row r="212" spans="1:15" s="1" customFormat="1" ht="15" customHeight="1" x14ac:dyDescent="0.25">
      <c r="A212" s="98" t="s">
        <v>0</v>
      </c>
      <c r="B212" s="100" t="s">
        <v>1</v>
      </c>
      <c r="C212" s="102" t="s">
        <v>2</v>
      </c>
      <c r="D212" s="104" t="s">
        <v>3</v>
      </c>
      <c r="E212" s="105"/>
      <c r="F212" s="106"/>
      <c r="G212" s="102" t="s">
        <v>4</v>
      </c>
      <c r="H212" s="107" t="s">
        <v>5</v>
      </c>
      <c r="I212" s="107"/>
      <c r="J212" s="107"/>
      <c r="K212" s="107"/>
      <c r="L212" s="108" t="s">
        <v>6</v>
      </c>
      <c r="M212" s="109"/>
      <c r="N212" s="109"/>
      <c r="O212" s="110"/>
    </row>
    <row r="213" spans="1:15" ht="48.75" customHeight="1" thickBot="1" x14ac:dyDescent="0.3">
      <c r="A213" s="99"/>
      <c r="B213" s="101"/>
      <c r="C213" s="103"/>
      <c r="D213" s="35" t="s">
        <v>7</v>
      </c>
      <c r="E213" s="35" t="s">
        <v>8</v>
      </c>
      <c r="F213" s="35" t="s">
        <v>9</v>
      </c>
      <c r="G213" s="103"/>
      <c r="H213" s="36" t="s">
        <v>10</v>
      </c>
      <c r="I213" s="36" t="s">
        <v>16</v>
      </c>
      <c r="J213" s="36" t="s">
        <v>11</v>
      </c>
      <c r="K213" s="36" t="s">
        <v>17</v>
      </c>
      <c r="L213" s="37" t="s">
        <v>12</v>
      </c>
      <c r="M213" s="36" t="s">
        <v>13</v>
      </c>
      <c r="N213" s="36" t="s">
        <v>14</v>
      </c>
      <c r="O213" s="38" t="s">
        <v>15</v>
      </c>
    </row>
    <row r="214" spans="1:15" ht="15.75" customHeight="1" x14ac:dyDescent="0.25">
      <c r="A214" s="84" t="s">
        <v>32</v>
      </c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6"/>
    </row>
    <row r="215" spans="1:15" ht="15.75" x14ac:dyDescent="0.25">
      <c r="A215" s="92" t="s">
        <v>19</v>
      </c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4"/>
    </row>
    <row r="216" spans="1:15" ht="15.75" x14ac:dyDescent="0.25">
      <c r="A216" s="11" t="s">
        <v>138</v>
      </c>
      <c r="B216" s="12" t="s">
        <v>129</v>
      </c>
      <c r="C216" s="13">
        <v>90</v>
      </c>
      <c r="D216" s="13">
        <v>8.1199999999999992</v>
      </c>
      <c r="E216" s="13">
        <v>5.62</v>
      </c>
      <c r="F216" s="13">
        <v>14.85</v>
      </c>
      <c r="G216" s="13">
        <f>4*(D216+F216)+(9*E216)</f>
        <v>142.45999999999998</v>
      </c>
      <c r="H216" s="13">
        <v>4.3999999999999997E-2</v>
      </c>
      <c r="I216" s="13">
        <v>0.13500000000000001</v>
      </c>
      <c r="J216" s="13">
        <v>5.9</v>
      </c>
      <c r="K216" s="13">
        <v>167.13</v>
      </c>
      <c r="L216" s="13">
        <v>136.1</v>
      </c>
      <c r="M216" s="13">
        <v>9.1999999999999993</v>
      </c>
      <c r="N216" s="13">
        <v>103.61</v>
      </c>
      <c r="O216" s="14">
        <v>0.7</v>
      </c>
    </row>
    <row r="217" spans="1:15" ht="31.5" x14ac:dyDescent="0.25">
      <c r="A217" s="39" t="s">
        <v>136</v>
      </c>
      <c r="B217" s="46" t="s">
        <v>224</v>
      </c>
      <c r="C217" s="41">
        <v>150</v>
      </c>
      <c r="D217" s="41">
        <v>4.68</v>
      </c>
      <c r="E217" s="41">
        <v>8.9499999999999993</v>
      </c>
      <c r="F217" s="41">
        <v>30.29</v>
      </c>
      <c r="G217" s="41">
        <f t="shared" ref="G217:G219" si="76">4*(D217+F217)+(9*E217)</f>
        <v>220.43</v>
      </c>
      <c r="H217" s="41">
        <v>1.2E-2</v>
      </c>
      <c r="I217" s="41">
        <v>0.28999999999999998</v>
      </c>
      <c r="J217" s="41">
        <v>0.8</v>
      </c>
      <c r="K217" s="41">
        <v>59</v>
      </c>
      <c r="L217" s="41">
        <v>89.67</v>
      </c>
      <c r="M217" s="41">
        <v>22.82</v>
      </c>
      <c r="N217" s="41">
        <v>135.03</v>
      </c>
      <c r="O217" s="42">
        <v>0.81</v>
      </c>
    </row>
    <row r="218" spans="1:15" ht="15.75" x14ac:dyDescent="0.25">
      <c r="A218" s="11" t="s">
        <v>114</v>
      </c>
      <c r="B218" s="12" t="s">
        <v>84</v>
      </c>
      <c r="C218" s="13">
        <v>200</v>
      </c>
      <c r="D218" s="13">
        <v>0.05</v>
      </c>
      <c r="E218" s="13">
        <v>0.02</v>
      </c>
      <c r="F218" s="13">
        <v>9.32</v>
      </c>
      <c r="G218" s="13">
        <f t="shared" si="76"/>
        <v>37.660000000000004</v>
      </c>
      <c r="H218" s="13">
        <v>0</v>
      </c>
      <c r="I218" s="13">
        <v>0</v>
      </c>
      <c r="J218" s="13">
        <v>0.02</v>
      </c>
      <c r="K218" s="13">
        <v>0</v>
      </c>
      <c r="L218" s="13">
        <v>8</v>
      </c>
      <c r="M218" s="13">
        <v>0.9</v>
      </c>
      <c r="N218" s="13">
        <v>1.6</v>
      </c>
      <c r="O218" s="14">
        <v>0.19</v>
      </c>
    </row>
    <row r="219" spans="1:15" ht="15.75" x14ac:dyDescent="0.25">
      <c r="A219" s="11"/>
      <c r="B219" s="12" t="s">
        <v>86</v>
      </c>
      <c r="C219" s="13">
        <v>25</v>
      </c>
      <c r="D219" s="13">
        <v>1.6</v>
      </c>
      <c r="E219" s="13">
        <v>0.2</v>
      </c>
      <c r="F219" s="13">
        <v>10.4</v>
      </c>
      <c r="G219" s="13">
        <f t="shared" si="76"/>
        <v>49.8</v>
      </c>
      <c r="H219" s="13">
        <v>2.1999999999999999E-2</v>
      </c>
      <c r="I219" s="13">
        <v>0.01</v>
      </c>
      <c r="J219" s="13">
        <v>0</v>
      </c>
      <c r="K219" s="13">
        <v>0</v>
      </c>
      <c r="L219" s="13">
        <v>4.5999999999999996</v>
      </c>
      <c r="M219" s="13">
        <v>2.1</v>
      </c>
      <c r="N219" s="13">
        <v>21.2</v>
      </c>
      <c r="O219" s="14">
        <v>0.2</v>
      </c>
    </row>
    <row r="220" spans="1:15" ht="16.5" thickBot="1" x14ac:dyDescent="0.3">
      <c r="A220" s="23" t="s">
        <v>154</v>
      </c>
      <c r="B220" s="24" t="s">
        <v>152</v>
      </c>
      <c r="C220" s="25">
        <v>40</v>
      </c>
      <c r="D220" s="25">
        <v>1.46</v>
      </c>
      <c r="E220" s="25">
        <v>3.93</v>
      </c>
      <c r="F220" s="25">
        <v>14.72</v>
      </c>
      <c r="G220" s="13">
        <f t="shared" ref="G220" si="77">4*(D220+F220)+(9*E220)</f>
        <v>100.09</v>
      </c>
      <c r="H220" s="25">
        <v>0.05</v>
      </c>
      <c r="I220" s="25">
        <v>0.03</v>
      </c>
      <c r="J220" s="25">
        <v>0.24</v>
      </c>
      <c r="K220" s="25">
        <v>40</v>
      </c>
      <c r="L220" s="25">
        <v>9.3000000000000007</v>
      </c>
      <c r="M220" s="25">
        <v>10.8</v>
      </c>
      <c r="N220" s="25">
        <v>3</v>
      </c>
      <c r="O220" s="26">
        <v>0.65</v>
      </c>
    </row>
    <row r="221" spans="1:15" ht="16.5" thickBot="1" x14ac:dyDescent="0.3">
      <c r="A221" s="90" t="s">
        <v>20</v>
      </c>
      <c r="B221" s="91"/>
      <c r="C221" s="9">
        <f t="shared" ref="C221:O221" si="78">SUM(C216:C220)</f>
        <v>505</v>
      </c>
      <c r="D221" s="9">
        <f t="shared" si="78"/>
        <v>15.91</v>
      </c>
      <c r="E221" s="9">
        <f t="shared" si="78"/>
        <v>18.72</v>
      </c>
      <c r="F221" s="9">
        <f t="shared" si="78"/>
        <v>79.58</v>
      </c>
      <c r="G221" s="9">
        <f t="shared" si="78"/>
        <v>550.44000000000005</v>
      </c>
      <c r="H221" s="9">
        <f t="shared" si="78"/>
        <v>0.128</v>
      </c>
      <c r="I221" s="9">
        <f t="shared" si="78"/>
        <v>0.46499999999999997</v>
      </c>
      <c r="J221" s="9">
        <f t="shared" si="78"/>
        <v>6.96</v>
      </c>
      <c r="K221" s="9">
        <f t="shared" si="78"/>
        <v>266.13</v>
      </c>
      <c r="L221" s="9">
        <f t="shared" si="78"/>
        <v>247.67</v>
      </c>
      <c r="M221" s="9">
        <f t="shared" si="78"/>
        <v>45.819999999999993</v>
      </c>
      <c r="N221" s="9">
        <f t="shared" si="78"/>
        <v>264.44</v>
      </c>
      <c r="O221" s="10">
        <f t="shared" si="78"/>
        <v>2.5499999999999998</v>
      </c>
    </row>
    <row r="222" spans="1:15" ht="15.75" x14ac:dyDescent="0.25">
      <c r="A222" s="95" t="s">
        <v>21</v>
      </c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7"/>
    </row>
    <row r="223" spans="1:15" ht="31.5" x14ac:dyDescent="0.25">
      <c r="A223" s="39" t="s">
        <v>135</v>
      </c>
      <c r="B223" s="46" t="s">
        <v>130</v>
      </c>
      <c r="C223" s="41">
        <v>250</v>
      </c>
      <c r="D223" s="41">
        <v>9.68</v>
      </c>
      <c r="E223" s="41">
        <v>12.9</v>
      </c>
      <c r="F223" s="41">
        <v>21.15</v>
      </c>
      <c r="G223" s="41">
        <f>4*(D223+F223)+(9*E223)</f>
        <v>239.42000000000002</v>
      </c>
      <c r="H223" s="41">
        <v>0.27</v>
      </c>
      <c r="I223" s="41">
        <v>0.21299999999999999</v>
      </c>
      <c r="J223" s="41">
        <v>0.14299999999999999</v>
      </c>
      <c r="K223" s="41">
        <v>54</v>
      </c>
      <c r="L223" s="41">
        <v>94.25</v>
      </c>
      <c r="M223" s="41">
        <v>24.1</v>
      </c>
      <c r="N223" s="41">
        <v>93.6</v>
      </c>
      <c r="O223" s="42">
        <v>0.68600000000000005</v>
      </c>
    </row>
    <row r="224" spans="1:15" ht="15.75" x14ac:dyDescent="0.25">
      <c r="A224" s="11" t="s">
        <v>166</v>
      </c>
      <c r="B224" s="12" t="s">
        <v>153</v>
      </c>
      <c r="C224" s="13">
        <v>100</v>
      </c>
      <c r="D224" s="13">
        <v>15.17</v>
      </c>
      <c r="E224" s="13">
        <v>13.64</v>
      </c>
      <c r="F224" s="13">
        <v>9.76</v>
      </c>
      <c r="G224" s="13">
        <f t="shared" ref="G224" si="79">4*(D224+F224)+(9*E224)</f>
        <v>222.48000000000002</v>
      </c>
      <c r="H224" s="13">
        <v>0.2</v>
      </c>
      <c r="I224" s="13">
        <v>7.0000000000000007E-2</v>
      </c>
      <c r="J224" s="13">
        <v>7.4</v>
      </c>
      <c r="K224" s="13">
        <v>112</v>
      </c>
      <c r="L224" s="13">
        <v>106.3</v>
      </c>
      <c r="M224" s="13">
        <v>31.8</v>
      </c>
      <c r="N224" s="13">
        <v>108.6</v>
      </c>
      <c r="O224" s="14">
        <v>0.96</v>
      </c>
    </row>
    <row r="225" spans="1:15" ht="15.75" x14ac:dyDescent="0.25">
      <c r="A225" s="11" t="s">
        <v>144</v>
      </c>
      <c r="B225" s="12" t="s">
        <v>236</v>
      </c>
      <c r="C225" s="13">
        <v>150</v>
      </c>
      <c r="D225" s="13">
        <v>8.2899999999999991</v>
      </c>
      <c r="E225" s="13">
        <v>7.88</v>
      </c>
      <c r="F225" s="13">
        <v>39.26</v>
      </c>
      <c r="G225" s="13">
        <f t="shared" ref="G225:G228" si="80">4*(D225+F225)+(9*E225)</f>
        <v>261.12</v>
      </c>
      <c r="H225" s="13">
        <v>0.2</v>
      </c>
      <c r="I225" s="13">
        <v>0</v>
      </c>
      <c r="J225" s="13">
        <v>1.05</v>
      </c>
      <c r="K225" s="13">
        <v>24.6</v>
      </c>
      <c r="L225" s="13">
        <v>97.24</v>
      </c>
      <c r="M225" s="13">
        <v>38.200000000000003</v>
      </c>
      <c r="N225" s="13">
        <v>106</v>
      </c>
      <c r="O225" s="14">
        <v>3.1</v>
      </c>
    </row>
    <row r="226" spans="1:15" ht="15.75" x14ac:dyDescent="0.25">
      <c r="A226" s="11" t="s">
        <v>133</v>
      </c>
      <c r="B226" s="12" t="s">
        <v>101</v>
      </c>
      <c r="C226" s="13">
        <v>180</v>
      </c>
      <c r="D226" s="13">
        <v>0.26</v>
      </c>
      <c r="E226" s="13">
        <v>0.12</v>
      </c>
      <c r="F226" s="13">
        <v>21.8</v>
      </c>
      <c r="G226" s="13">
        <f t="shared" si="80"/>
        <v>89.320000000000007</v>
      </c>
      <c r="H226" s="13">
        <v>0</v>
      </c>
      <c r="I226" s="13">
        <v>0.05</v>
      </c>
      <c r="J226" s="13">
        <v>20.399999999999999</v>
      </c>
      <c r="K226" s="13">
        <v>0</v>
      </c>
      <c r="L226" s="13">
        <v>69.2</v>
      </c>
      <c r="M226" s="13">
        <v>4.0999999999999996</v>
      </c>
      <c r="N226" s="13">
        <v>68.900000000000006</v>
      </c>
      <c r="O226" s="14">
        <v>0.4</v>
      </c>
    </row>
    <row r="227" spans="1:15" ht="15.75" x14ac:dyDescent="0.25">
      <c r="A227" s="11"/>
      <c r="B227" s="12" t="s">
        <v>86</v>
      </c>
      <c r="C227" s="13">
        <v>25</v>
      </c>
      <c r="D227" s="13">
        <v>1.6</v>
      </c>
      <c r="E227" s="13">
        <v>0.2</v>
      </c>
      <c r="F227" s="13">
        <v>10.4</v>
      </c>
      <c r="G227" s="13">
        <f t="shared" si="80"/>
        <v>49.8</v>
      </c>
      <c r="H227" s="13">
        <v>2.1999999999999999E-2</v>
      </c>
      <c r="I227" s="13">
        <v>0.03</v>
      </c>
      <c r="J227" s="13">
        <v>0</v>
      </c>
      <c r="K227" s="13">
        <v>0</v>
      </c>
      <c r="L227" s="13">
        <v>4.5999999999999996</v>
      </c>
      <c r="M227" s="13">
        <v>2.1</v>
      </c>
      <c r="N227" s="13">
        <v>21.2</v>
      </c>
      <c r="O227" s="14">
        <v>0.2</v>
      </c>
    </row>
    <row r="228" spans="1:15" ht="16.5" thickBot="1" x14ac:dyDescent="0.3">
      <c r="A228" s="23"/>
      <c r="B228" s="24" t="s">
        <v>92</v>
      </c>
      <c r="C228" s="25">
        <v>25</v>
      </c>
      <c r="D228" s="13">
        <v>1.3</v>
      </c>
      <c r="E228" s="13">
        <v>0.2</v>
      </c>
      <c r="F228" s="13">
        <v>8.1999999999999993</v>
      </c>
      <c r="G228" s="13">
        <f t="shared" si="80"/>
        <v>39.799999999999997</v>
      </c>
      <c r="H228" s="13">
        <v>2.1999999999999999E-2</v>
      </c>
      <c r="I228" s="13">
        <v>0.01</v>
      </c>
      <c r="J228" s="13">
        <v>0</v>
      </c>
      <c r="K228" s="13">
        <v>0</v>
      </c>
      <c r="L228" s="13">
        <v>5</v>
      </c>
      <c r="M228" s="13">
        <v>2.8</v>
      </c>
      <c r="N228" s="13">
        <v>13</v>
      </c>
      <c r="O228" s="14">
        <v>0.22</v>
      </c>
    </row>
    <row r="229" spans="1:15" ht="16.5" thickBot="1" x14ac:dyDescent="0.3">
      <c r="A229" s="90" t="s">
        <v>20</v>
      </c>
      <c r="B229" s="91"/>
      <c r="C229" s="9">
        <f t="shared" ref="C229:O229" si="81">SUM(C223:C228)</f>
        <v>730</v>
      </c>
      <c r="D229" s="9">
        <f t="shared" si="81"/>
        <v>36.299999999999997</v>
      </c>
      <c r="E229" s="9">
        <f t="shared" si="81"/>
        <v>34.940000000000005</v>
      </c>
      <c r="F229" s="9">
        <f t="shared" si="81"/>
        <v>110.57</v>
      </c>
      <c r="G229" s="9">
        <f t="shared" si="81"/>
        <v>901.93999999999994</v>
      </c>
      <c r="H229" s="9">
        <f t="shared" si="81"/>
        <v>0.71400000000000008</v>
      </c>
      <c r="I229" s="9">
        <f t="shared" si="81"/>
        <v>0.373</v>
      </c>
      <c r="J229" s="9">
        <f t="shared" si="81"/>
        <v>28.992999999999999</v>
      </c>
      <c r="K229" s="9">
        <f t="shared" si="81"/>
        <v>190.6</v>
      </c>
      <c r="L229" s="9">
        <f t="shared" si="81"/>
        <v>376.59000000000003</v>
      </c>
      <c r="M229" s="9">
        <f t="shared" si="81"/>
        <v>103.1</v>
      </c>
      <c r="N229" s="9">
        <f t="shared" si="81"/>
        <v>411.3</v>
      </c>
      <c r="O229" s="10">
        <f t="shared" si="81"/>
        <v>5.5660000000000007</v>
      </c>
    </row>
    <row r="230" spans="1:15" ht="15.75" x14ac:dyDescent="0.25">
      <c r="A230" s="95" t="s">
        <v>22</v>
      </c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7"/>
    </row>
    <row r="231" spans="1:15" ht="15.75" x14ac:dyDescent="0.25">
      <c r="A231" s="11" t="s">
        <v>117</v>
      </c>
      <c r="B231" s="12" t="s">
        <v>170</v>
      </c>
      <c r="C231" s="13">
        <v>50</v>
      </c>
      <c r="D231" s="13">
        <v>4.2</v>
      </c>
      <c r="E231" s="13">
        <v>5.8</v>
      </c>
      <c r="F231" s="13">
        <v>43.15</v>
      </c>
      <c r="G231" s="13">
        <f>4*(D231+F231)+(9*E231)</f>
        <v>241.6</v>
      </c>
      <c r="H231" s="13">
        <v>6.0000000000000001E-3</v>
      </c>
      <c r="I231" s="13">
        <v>0.14000000000000001</v>
      </c>
      <c r="J231" s="13">
        <v>9.6</v>
      </c>
      <c r="K231" s="13">
        <v>52.3</v>
      </c>
      <c r="L231" s="13">
        <v>177.3</v>
      </c>
      <c r="M231" s="13">
        <v>24.5</v>
      </c>
      <c r="N231" s="13">
        <v>124.6</v>
      </c>
      <c r="O231" s="14">
        <v>6.2E-2</v>
      </c>
    </row>
    <row r="232" spans="1:15" s="1" customFormat="1" ht="15.75" x14ac:dyDescent="0.25">
      <c r="A232" s="23"/>
      <c r="B232" s="24" t="s">
        <v>110</v>
      </c>
      <c r="C232" s="25">
        <v>100</v>
      </c>
      <c r="D232" s="25">
        <v>0.3</v>
      </c>
      <c r="E232" s="25">
        <v>0</v>
      </c>
      <c r="F232" s="25">
        <v>8.6</v>
      </c>
      <c r="G232" s="13">
        <f t="shared" ref="G232:G233" si="82">4*(D232+F232)+(9*E232)</f>
        <v>35.6</v>
      </c>
      <c r="H232" s="25">
        <v>0.03</v>
      </c>
      <c r="I232" s="25">
        <v>0.03</v>
      </c>
      <c r="J232" s="25">
        <v>0.01</v>
      </c>
      <c r="K232" s="25">
        <v>16</v>
      </c>
      <c r="L232" s="25">
        <v>16</v>
      </c>
      <c r="M232" s="25">
        <v>9</v>
      </c>
      <c r="N232" s="25">
        <v>15</v>
      </c>
      <c r="O232" s="26">
        <v>0.66</v>
      </c>
    </row>
    <row r="233" spans="1:15" ht="16.5" thickBot="1" x14ac:dyDescent="0.3">
      <c r="A233" s="23" t="s">
        <v>114</v>
      </c>
      <c r="B233" s="24" t="s">
        <v>111</v>
      </c>
      <c r="C233" s="25">
        <v>215</v>
      </c>
      <c r="D233" s="25">
        <v>7.0000000000000007E-2</v>
      </c>
      <c r="E233" s="25">
        <v>0.02</v>
      </c>
      <c r="F233" s="25">
        <v>16.89</v>
      </c>
      <c r="G233" s="13">
        <f t="shared" si="82"/>
        <v>68.02000000000001</v>
      </c>
      <c r="H233" s="25">
        <v>2.8000000000000001E-2</v>
      </c>
      <c r="I233" s="25">
        <v>0.04</v>
      </c>
      <c r="J233" s="25">
        <v>0</v>
      </c>
      <c r="K233" s="25">
        <v>0</v>
      </c>
      <c r="L233" s="25">
        <v>8.0500000000000007</v>
      </c>
      <c r="M233" s="25">
        <v>5.24</v>
      </c>
      <c r="N233" s="25">
        <v>9.7799999999999994</v>
      </c>
      <c r="O233" s="26">
        <v>0.19</v>
      </c>
    </row>
    <row r="234" spans="1:15" ht="16.5" thickBot="1" x14ac:dyDescent="0.3">
      <c r="A234" s="90" t="s">
        <v>20</v>
      </c>
      <c r="B234" s="91"/>
      <c r="C234" s="9">
        <f>SUM(C231:C233)</f>
        <v>365</v>
      </c>
      <c r="D234" s="9">
        <f>SUM(D231:D233)</f>
        <v>4.57</v>
      </c>
      <c r="E234" s="9">
        <f t="shared" ref="E234:O234" si="83">SUM(E231:E233)</f>
        <v>5.8199999999999994</v>
      </c>
      <c r="F234" s="9">
        <f t="shared" si="83"/>
        <v>68.64</v>
      </c>
      <c r="G234" s="9">
        <f t="shared" si="83"/>
        <v>345.22</v>
      </c>
      <c r="H234" s="9">
        <f t="shared" si="83"/>
        <v>6.4000000000000001E-2</v>
      </c>
      <c r="I234" s="9">
        <f t="shared" si="83"/>
        <v>0.21000000000000002</v>
      </c>
      <c r="J234" s="9">
        <f t="shared" si="83"/>
        <v>9.61</v>
      </c>
      <c r="K234" s="9">
        <f t="shared" si="83"/>
        <v>68.3</v>
      </c>
      <c r="L234" s="9">
        <f t="shared" si="83"/>
        <v>201.35000000000002</v>
      </c>
      <c r="M234" s="9">
        <f t="shared" si="83"/>
        <v>38.74</v>
      </c>
      <c r="N234" s="9">
        <f t="shared" si="83"/>
        <v>149.38</v>
      </c>
      <c r="O234" s="10">
        <f t="shared" si="83"/>
        <v>0.91199999999999992</v>
      </c>
    </row>
    <row r="235" spans="1:15" ht="16.5" thickBot="1" x14ac:dyDescent="0.3">
      <c r="A235" s="28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30"/>
    </row>
    <row r="236" spans="1:15" ht="16.5" thickBot="1" x14ac:dyDescent="0.3">
      <c r="A236" s="90" t="s">
        <v>42</v>
      </c>
      <c r="B236" s="91"/>
      <c r="C236" s="9">
        <f t="shared" ref="C236:O236" si="84">C234+C229+C221</f>
        <v>1600</v>
      </c>
      <c r="D236" s="31">
        <f t="shared" si="84"/>
        <v>56.78</v>
      </c>
      <c r="E236" s="31">
        <f t="shared" si="84"/>
        <v>59.480000000000004</v>
      </c>
      <c r="F236" s="31">
        <f t="shared" si="84"/>
        <v>258.78999999999996</v>
      </c>
      <c r="G236" s="31">
        <f t="shared" si="84"/>
        <v>1797.6</v>
      </c>
      <c r="H236" s="9">
        <f t="shared" si="84"/>
        <v>0.90600000000000003</v>
      </c>
      <c r="I236" s="9">
        <f t="shared" si="84"/>
        <v>1.048</v>
      </c>
      <c r="J236" s="9">
        <f t="shared" si="84"/>
        <v>45.562999999999995</v>
      </c>
      <c r="K236" s="9">
        <f t="shared" si="84"/>
        <v>525.03</v>
      </c>
      <c r="L236" s="9">
        <f t="shared" si="84"/>
        <v>825.61</v>
      </c>
      <c r="M236" s="9">
        <f t="shared" si="84"/>
        <v>187.66</v>
      </c>
      <c r="N236" s="27">
        <f t="shared" si="84"/>
        <v>825.12000000000012</v>
      </c>
      <c r="O236" s="10">
        <f t="shared" si="84"/>
        <v>9.0280000000000005</v>
      </c>
    </row>
    <row r="237" spans="1:15" s="1" customFormat="1" ht="15.75" x14ac:dyDescent="0.25">
      <c r="A237" s="32"/>
      <c r="B237" s="32"/>
      <c r="C237" s="34"/>
      <c r="D237" s="33"/>
      <c r="E237" s="33"/>
      <c r="F237" s="33"/>
      <c r="G237" s="33"/>
      <c r="H237" s="34"/>
      <c r="I237" s="34"/>
      <c r="J237" s="34"/>
      <c r="K237" s="34"/>
      <c r="L237" s="34"/>
      <c r="M237" s="34"/>
      <c r="N237" s="33"/>
      <c r="O237" s="34"/>
    </row>
    <row r="238" spans="1:15" s="1" customFormat="1" x14ac:dyDescent="0.25">
      <c r="A238" s="87" t="s">
        <v>209</v>
      </c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</row>
    <row r="239" spans="1:15" s="1" customFormat="1" ht="15.75" x14ac:dyDescent="0.25">
      <c r="A239" s="32"/>
      <c r="B239" s="32"/>
      <c r="C239" s="34"/>
      <c r="D239" s="33"/>
      <c r="E239" s="33"/>
      <c r="F239" s="33"/>
      <c r="G239" s="33"/>
      <c r="H239" s="34"/>
      <c r="I239" s="34"/>
      <c r="J239" s="34"/>
      <c r="K239" s="34"/>
      <c r="L239" s="34"/>
      <c r="M239" s="34"/>
      <c r="N239" s="33"/>
      <c r="O239" s="34"/>
    </row>
    <row r="240" spans="1:15" s="1" customFormat="1" x14ac:dyDescent="0.25">
      <c r="A240" s="88" t="s">
        <v>208</v>
      </c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</row>
    <row r="241" spans="1:19" s="1" customFormat="1" ht="15.75" x14ac:dyDescent="0.25">
      <c r="A241" s="32"/>
      <c r="B241" s="32"/>
      <c r="C241" s="34"/>
      <c r="D241" s="33"/>
      <c r="E241" s="33"/>
      <c r="F241" s="33"/>
      <c r="G241" s="33"/>
      <c r="H241" s="34"/>
      <c r="I241" s="34"/>
      <c r="J241" s="34"/>
      <c r="K241" s="34"/>
      <c r="L241" s="34"/>
      <c r="M241" s="34"/>
      <c r="N241" s="33"/>
      <c r="O241" s="34"/>
    </row>
    <row r="242" spans="1:19" s="1" customFormat="1" ht="16.5" thickBot="1" x14ac:dyDescent="0.3">
      <c r="A242" s="32"/>
      <c r="B242" s="32"/>
      <c r="C242" s="34"/>
      <c r="D242" s="33"/>
      <c r="E242" s="33"/>
      <c r="F242" s="33"/>
      <c r="G242" s="33"/>
      <c r="H242" s="34"/>
      <c r="I242" s="34"/>
      <c r="J242" s="34"/>
      <c r="K242" s="34"/>
      <c r="L242" s="34"/>
      <c r="M242" s="34"/>
      <c r="N242" s="33"/>
      <c r="O242" s="34"/>
    </row>
    <row r="243" spans="1:19" s="1" customFormat="1" x14ac:dyDescent="0.25">
      <c r="A243" s="98" t="s">
        <v>0</v>
      </c>
      <c r="B243" s="100" t="s">
        <v>1</v>
      </c>
      <c r="C243" s="102" t="s">
        <v>2</v>
      </c>
      <c r="D243" s="104" t="s">
        <v>3</v>
      </c>
      <c r="E243" s="105"/>
      <c r="F243" s="106"/>
      <c r="G243" s="102" t="s">
        <v>4</v>
      </c>
      <c r="H243" s="107" t="s">
        <v>5</v>
      </c>
      <c r="I243" s="107"/>
      <c r="J243" s="107"/>
      <c r="K243" s="107"/>
      <c r="L243" s="108" t="s">
        <v>6</v>
      </c>
      <c r="M243" s="109"/>
      <c r="N243" s="109"/>
      <c r="O243" s="110"/>
    </row>
    <row r="244" spans="1:19" ht="53.25" customHeight="1" thickBot="1" x14ac:dyDescent="0.3">
      <c r="A244" s="99"/>
      <c r="B244" s="101"/>
      <c r="C244" s="103"/>
      <c r="D244" s="35" t="s">
        <v>7</v>
      </c>
      <c r="E244" s="35" t="s">
        <v>8</v>
      </c>
      <c r="F244" s="35" t="s">
        <v>9</v>
      </c>
      <c r="G244" s="103"/>
      <c r="H244" s="36" t="s">
        <v>10</v>
      </c>
      <c r="I244" s="36" t="s">
        <v>16</v>
      </c>
      <c r="J244" s="36" t="s">
        <v>11</v>
      </c>
      <c r="K244" s="36" t="s">
        <v>17</v>
      </c>
      <c r="L244" s="37" t="s">
        <v>12</v>
      </c>
      <c r="M244" s="36" t="s">
        <v>13</v>
      </c>
      <c r="N244" s="36" t="s">
        <v>14</v>
      </c>
      <c r="O244" s="38" t="s">
        <v>15</v>
      </c>
    </row>
    <row r="245" spans="1:19" ht="15.75" x14ac:dyDescent="0.25">
      <c r="A245" s="84" t="s">
        <v>33</v>
      </c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6"/>
    </row>
    <row r="246" spans="1:19" ht="15.75" x14ac:dyDescent="0.25">
      <c r="A246" s="92" t="s">
        <v>19</v>
      </c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4"/>
    </row>
    <row r="247" spans="1:19" ht="15.75" x14ac:dyDescent="0.25">
      <c r="A247" s="11" t="s">
        <v>124</v>
      </c>
      <c r="B247" s="12" t="s">
        <v>139</v>
      </c>
      <c r="C247" s="13">
        <v>200</v>
      </c>
      <c r="D247" s="13">
        <v>6.84</v>
      </c>
      <c r="E247" s="13">
        <v>8.42</v>
      </c>
      <c r="F247" s="13">
        <v>22.13</v>
      </c>
      <c r="G247" s="13">
        <f>4*(D247+F247)+(9*E247)</f>
        <v>191.66</v>
      </c>
      <c r="H247" s="13">
        <v>0.16</v>
      </c>
      <c r="I247" s="13">
        <v>0.16</v>
      </c>
      <c r="J247" s="13">
        <v>0.06</v>
      </c>
      <c r="K247" s="13">
        <v>148.9</v>
      </c>
      <c r="L247" s="13">
        <v>124.3</v>
      </c>
      <c r="M247" s="13">
        <v>38.6</v>
      </c>
      <c r="N247" s="13">
        <v>102.1</v>
      </c>
      <c r="O247" s="14">
        <v>1.37</v>
      </c>
    </row>
    <row r="248" spans="1:19" ht="15.75" x14ac:dyDescent="0.25">
      <c r="A248" s="11" t="s">
        <v>128</v>
      </c>
      <c r="B248" s="12" t="s">
        <v>157</v>
      </c>
      <c r="C248" s="13">
        <v>55</v>
      </c>
      <c r="D248" s="13">
        <v>4.0199999999999996</v>
      </c>
      <c r="E248" s="13">
        <v>12.28</v>
      </c>
      <c r="F248" s="13">
        <v>29.41</v>
      </c>
      <c r="G248" s="13">
        <f t="shared" ref="G248:G250" si="85">4*(D248+F248)+(9*E248)</f>
        <v>244.24</v>
      </c>
      <c r="H248" s="13">
        <v>0.03</v>
      </c>
      <c r="I248" s="13">
        <v>0.01</v>
      </c>
      <c r="J248" s="13">
        <v>3</v>
      </c>
      <c r="K248" s="13">
        <v>56.8</v>
      </c>
      <c r="L248" s="13">
        <v>102.4</v>
      </c>
      <c r="M248" s="13">
        <v>1</v>
      </c>
      <c r="N248" s="13">
        <v>98.7</v>
      </c>
      <c r="O248" s="14">
        <v>0.5</v>
      </c>
    </row>
    <row r="249" spans="1:19" ht="15.75" x14ac:dyDescent="0.25">
      <c r="A249" s="23" t="s">
        <v>114</v>
      </c>
      <c r="B249" s="24" t="s">
        <v>111</v>
      </c>
      <c r="C249" s="25">
        <v>215</v>
      </c>
      <c r="D249" s="25">
        <v>7.0000000000000007E-2</v>
      </c>
      <c r="E249" s="25">
        <v>0.02</v>
      </c>
      <c r="F249" s="25">
        <v>16.89</v>
      </c>
      <c r="G249" s="13">
        <f t="shared" si="85"/>
        <v>68.02000000000001</v>
      </c>
      <c r="H249" s="25">
        <v>2.8000000000000001E-2</v>
      </c>
      <c r="I249" s="25">
        <v>0.04</v>
      </c>
      <c r="J249" s="25">
        <v>0</v>
      </c>
      <c r="K249" s="25">
        <v>0</v>
      </c>
      <c r="L249" s="25">
        <v>8.0500000000000007</v>
      </c>
      <c r="M249" s="25">
        <v>5.24</v>
      </c>
      <c r="N249" s="25">
        <v>9.7799999999999994</v>
      </c>
      <c r="O249" s="26">
        <v>0.19</v>
      </c>
    </row>
    <row r="250" spans="1:19" ht="16.5" thickBot="1" x14ac:dyDescent="0.3">
      <c r="A250" s="11"/>
      <c r="B250" s="12" t="s">
        <v>235</v>
      </c>
      <c r="C250" s="13">
        <v>30</v>
      </c>
      <c r="D250" s="25">
        <v>2.2000000000000002</v>
      </c>
      <c r="E250" s="25">
        <v>0.36</v>
      </c>
      <c r="F250" s="25">
        <v>22.72</v>
      </c>
      <c r="G250" s="13">
        <f t="shared" si="85"/>
        <v>102.91999999999999</v>
      </c>
      <c r="H250" s="25">
        <v>0.06</v>
      </c>
      <c r="I250" s="25">
        <v>3.0000000000000001E-3</v>
      </c>
      <c r="J250" s="25">
        <v>0</v>
      </c>
      <c r="K250" s="25">
        <v>0</v>
      </c>
      <c r="L250" s="25">
        <v>9.1999999999999993</v>
      </c>
      <c r="M250" s="25">
        <v>16.36</v>
      </c>
      <c r="N250" s="25">
        <v>23.6</v>
      </c>
      <c r="O250" s="26">
        <v>0.12</v>
      </c>
    </row>
    <row r="251" spans="1:19" ht="16.5" thickBot="1" x14ac:dyDescent="0.3">
      <c r="A251" s="90" t="s">
        <v>20</v>
      </c>
      <c r="B251" s="91"/>
      <c r="C251" s="9">
        <f t="shared" ref="C251:O251" si="86">SUM(C247:C250)</f>
        <v>500</v>
      </c>
      <c r="D251" s="9">
        <f t="shared" si="86"/>
        <v>13.129999999999999</v>
      </c>
      <c r="E251" s="9">
        <f t="shared" si="86"/>
        <v>21.08</v>
      </c>
      <c r="F251" s="9">
        <f t="shared" si="86"/>
        <v>91.15</v>
      </c>
      <c r="G251" s="9">
        <f t="shared" si="86"/>
        <v>606.83999999999992</v>
      </c>
      <c r="H251" s="9">
        <f t="shared" si="86"/>
        <v>0.27800000000000002</v>
      </c>
      <c r="I251" s="9">
        <f t="shared" si="86"/>
        <v>0.21300000000000002</v>
      </c>
      <c r="J251" s="9">
        <f t="shared" si="86"/>
        <v>3.06</v>
      </c>
      <c r="K251" s="9">
        <f t="shared" si="86"/>
        <v>205.7</v>
      </c>
      <c r="L251" s="9">
        <f t="shared" si="86"/>
        <v>243.95</v>
      </c>
      <c r="M251" s="9">
        <f t="shared" si="86"/>
        <v>61.2</v>
      </c>
      <c r="N251" s="9">
        <f t="shared" si="86"/>
        <v>234.18</v>
      </c>
      <c r="O251" s="10">
        <f t="shared" si="86"/>
        <v>2.1800000000000002</v>
      </c>
    </row>
    <row r="252" spans="1:19" ht="15.75" x14ac:dyDescent="0.25">
      <c r="A252" s="95" t="s">
        <v>21</v>
      </c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7"/>
    </row>
    <row r="253" spans="1:19" ht="15.75" x14ac:dyDescent="0.25">
      <c r="A253" s="11" t="s">
        <v>150</v>
      </c>
      <c r="B253" s="12" t="s">
        <v>148</v>
      </c>
      <c r="C253" s="13">
        <v>250</v>
      </c>
      <c r="D253" s="13">
        <v>12.5</v>
      </c>
      <c r="E253" s="13">
        <v>9.8000000000000007</v>
      </c>
      <c r="F253" s="13">
        <v>32.89</v>
      </c>
      <c r="G253" s="13">
        <f>4*(D253+F253)+(9*E253)</f>
        <v>269.76</v>
      </c>
      <c r="H253" s="13">
        <v>0.05</v>
      </c>
      <c r="I253" s="13">
        <v>9.1999999999999998E-2</v>
      </c>
      <c r="J253" s="13">
        <v>0</v>
      </c>
      <c r="K253" s="13">
        <v>123</v>
      </c>
      <c r="L253" s="13">
        <v>95.3</v>
      </c>
      <c r="M253" s="13">
        <v>23.8</v>
      </c>
      <c r="N253" s="13">
        <v>46.5</v>
      </c>
      <c r="O253" s="14">
        <v>1.575</v>
      </c>
    </row>
    <row r="254" spans="1:19" ht="31.5" x14ac:dyDescent="0.25">
      <c r="A254" s="39" t="s">
        <v>193</v>
      </c>
      <c r="B254" s="46" t="s">
        <v>238</v>
      </c>
      <c r="C254" s="50">
        <v>170</v>
      </c>
      <c r="D254" s="41">
        <v>12.63</v>
      </c>
      <c r="E254" s="41">
        <v>15.23</v>
      </c>
      <c r="F254" s="41">
        <v>28.24</v>
      </c>
      <c r="G254" s="41">
        <f>4*(D254+F254)+(9*E254)</f>
        <v>300.54999999999995</v>
      </c>
      <c r="H254" s="41">
        <v>0.31</v>
      </c>
      <c r="I254" s="41">
        <v>0.12</v>
      </c>
      <c r="J254" s="41">
        <v>24</v>
      </c>
      <c r="K254" s="41">
        <v>162.35</v>
      </c>
      <c r="L254" s="41">
        <v>172.43</v>
      </c>
      <c r="M254" s="41">
        <v>44.3</v>
      </c>
      <c r="N254" s="41">
        <v>138.1</v>
      </c>
      <c r="O254" s="42">
        <v>0.95</v>
      </c>
    </row>
    <row r="255" spans="1:19" ht="15.75" x14ac:dyDescent="0.25">
      <c r="A255" s="11"/>
      <c r="B255" s="12" t="s">
        <v>239</v>
      </c>
      <c r="C255" s="13">
        <v>60</v>
      </c>
      <c r="D255" s="13">
        <v>0.8</v>
      </c>
      <c r="E255" s="13">
        <v>0.1</v>
      </c>
      <c r="F255" s="13">
        <v>1.6</v>
      </c>
      <c r="G255" s="13">
        <f t="shared" ref="G255:G258" si="87">4*(D255+F255)+(9*E255)</f>
        <v>10.500000000000002</v>
      </c>
      <c r="H255" s="13">
        <v>0.02</v>
      </c>
      <c r="I255" s="13">
        <v>0.16</v>
      </c>
      <c r="J255" s="13">
        <v>5.8</v>
      </c>
      <c r="K255" s="13">
        <v>0.8</v>
      </c>
      <c r="L255" s="13">
        <v>49</v>
      </c>
      <c r="M255" s="13">
        <v>14</v>
      </c>
      <c r="N255" s="13">
        <v>24</v>
      </c>
      <c r="O255" s="14">
        <v>0.6</v>
      </c>
    </row>
    <row r="256" spans="1:19" ht="15.75" x14ac:dyDescent="0.25">
      <c r="A256" s="11" t="s">
        <v>95</v>
      </c>
      <c r="B256" s="12" t="s">
        <v>109</v>
      </c>
      <c r="C256" s="13">
        <v>180</v>
      </c>
      <c r="D256" s="13">
        <v>0.4</v>
      </c>
      <c r="E256" s="13">
        <v>0.02</v>
      </c>
      <c r="F256" s="13">
        <v>19.73</v>
      </c>
      <c r="G256" s="13">
        <f t="shared" si="87"/>
        <v>80.7</v>
      </c>
      <c r="H256" s="13">
        <v>2E-3</v>
      </c>
      <c r="I256" s="13">
        <v>0.05</v>
      </c>
      <c r="J256" s="13">
        <v>7.6</v>
      </c>
      <c r="K256" s="13">
        <v>0</v>
      </c>
      <c r="L256" s="13">
        <v>73.87</v>
      </c>
      <c r="M256" s="13">
        <v>2.5</v>
      </c>
      <c r="N256" s="13">
        <v>21.55</v>
      </c>
      <c r="O256" s="14">
        <v>2.2999999999999998</v>
      </c>
      <c r="S256" t="s">
        <v>237</v>
      </c>
    </row>
    <row r="257" spans="1:15" ht="15.75" x14ac:dyDescent="0.25">
      <c r="A257" s="11"/>
      <c r="B257" s="12" t="s">
        <v>86</v>
      </c>
      <c r="C257" s="13">
        <v>25</v>
      </c>
      <c r="D257" s="13">
        <v>1.6</v>
      </c>
      <c r="E257" s="13">
        <v>0.2</v>
      </c>
      <c r="F257" s="13">
        <v>10.4</v>
      </c>
      <c r="G257" s="13">
        <f t="shared" si="87"/>
        <v>49.8</v>
      </c>
      <c r="H257" s="13">
        <v>2.1999999999999999E-2</v>
      </c>
      <c r="I257" s="13">
        <v>0.01</v>
      </c>
      <c r="J257" s="13">
        <v>0</v>
      </c>
      <c r="K257" s="13">
        <v>0</v>
      </c>
      <c r="L257" s="13">
        <v>4.5999999999999996</v>
      </c>
      <c r="M257" s="13">
        <v>2.1</v>
      </c>
      <c r="N257" s="13">
        <v>21.2</v>
      </c>
      <c r="O257" s="14">
        <v>0.2</v>
      </c>
    </row>
    <row r="258" spans="1:15" ht="16.5" thickBot="1" x14ac:dyDescent="0.3">
      <c r="A258" s="23"/>
      <c r="B258" s="24" t="s">
        <v>92</v>
      </c>
      <c r="C258" s="25">
        <v>25</v>
      </c>
      <c r="D258" s="13">
        <v>1.3</v>
      </c>
      <c r="E258" s="13">
        <v>0.2</v>
      </c>
      <c r="F258" s="13">
        <v>8.1999999999999993</v>
      </c>
      <c r="G258" s="13">
        <f t="shared" si="87"/>
        <v>39.799999999999997</v>
      </c>
      <c r="H258" s="13">
        <v>2.1999999999999999E-2</v>
      </c>
      <c r="I258" s="13">
        <v>0.01</v>
      </c>
      <c r="J258" s="13">
        <v>0</v>
      </c>
      <c r="K258" s="13">
        <v>0</v>
      </c>
      <c r="L258" s="13">
        <v>5</v>
      </c>
      <c r="M258" s="13">
        <v>2.8</v>
      </c>
      <c r="N258" s="13">
        <v>13</v>
      </c>
      <c r="O258" s="14">
        <v>0.22</v>
      </c>
    </row>
    <row r="259" spans="1:15" ht="16.5" thickBot="1" x14ac:dyDescent="0.3">
      <c r="A259" s="90" t="s">
        <v>20</v>
      </c>
      <c r="B259" s="91"/>
      <c r="C259" s="9">
        <f t="shared" ref="C259:O259" si="88">SUM(C253:C258)</f>
        <v>710</v>
      </c>
      <c r="D259" s="9">
        <f t="shared" si="88"/>
        <v>29.230000000000004</v>
      </c>
      <c r="E259" s="9">
        <f t="shared" si="88"/>
        <v>25.55</v>
      </c>
      <c r="F259" s="9">
        <f t="shared" si="88"/>
        <v>101.06</v>
      </c>
      <c r="G259" s="9">
        <f t="shared" si="88"/>
        <v>751.1099999999999</v>
      </c>
      <c r="H259" s="9">
        <f t="shared" si="88"/>
        <v>0.42600000000000005</v>
      </c>
      <c r="I259" s="9">
        <f t="shared" si="88"/>
        <v>0.442</v>
      </c>
      <c r="J259" s="9">
        <f t="shared" si="88"/>
        <v>37.4</v>
      </c>
      <c r="K259" s="9">
        <f t="shared" si="88"/>
        <v>286.15000000000003</v>
      </c>
      <c r="L259" s="9">
        <f t="shared" si="88"/>
        <v>400.20000000000005</v>
      </c>
      <c r="M259" s="9">
        <f t="shared" si="88"/>
        <v>89.499999999999986</v>
      </c>
      <c r="N259" s="9">
        <f t="shared" si="88"/>
        <v>264.35000000000002</v>
      </c>
      <c r="O259" s="10">
        <f t="shared" si="88"/>
        <v>5.8449999999999998</v>
      </c>
    </row>
    <row r="260" spans="1:15" ht="15.75" x14ac:dyDescent="0.25">
      <c r="A260" s="95" t="s">
        <v>22</v>
      </c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7"/>
    </row>
    <row r="261" spans="1:15" ht="15.75" x14ac:dyDescent="0.25">
      <c r="A261" s="11" t="s">
        <v>159</v>
      </c>
      <c r="B261" s="12" t="s">
        <v>181</v>
      </c>
      <c r="C261" s="13">
        <v>75</v>
      </c>
      <c r="D261" s="13">
        <v>4.7</v>
      </c>
      <c r="E261" s="13">
        <v>5.68</v>
      </c>
      <c r="F261" s="13">
        <v>41.13</v>
      </c>
      <c r="G261" s="13">
        <f>4*(D261+F261)+(9*E261)</f>
        <v>234.44000000000003</v>
      </c>
      <c r="H261" s="13">
        <v>0.13900000000000001</v>
      </c>
      <c r="I261" s="13">
        <v>0.35</v>
      </c>
      <c r="J261" s="13">
        <v>4.6900000000000004</v>
      </c>
      <c r="K261" s="13">
        <v>31.4</v>
      </c>
      <c r="L261" s="13">
        <v>33.46</v>
      </c>
      <c r="M261" s="13">
        <v>6.75</v>
      </c>
      <c r="N261" s="13">
        <v>36.9</v>
      </c>
      <c r="O261" s="14">
        <v>0.93</v>
      </c>
    </row>
    <row r="262" spans="1:15" ht="16.5" thickBot="1" x14ac:dyDescent="0.3">
      <c r="A262" s="23"/>
      <c r="B262" s="24" t="s">
        <v>132</v>
      </c>
      <c r="C262" s="25">
        <v>200</v>
      </c>
      <c r="D262" s="25">
        <v>5.6</v>
      </c>
      <c r="E262" s="25">
        <v>5</v>
      </c>
      <c r="F262" s="25">
        <v>18.989999999999998</v>
      </c>
      <c r="G262" s="13">
        <f>4*(D262+F262)+(9*E262)</f>
        <v>143.35999999999999</v>
      </c>
      <c r="H262" s="25">
        <v>0.06</v>
      </c>
      <c r="I262" s="25">
        <v>0.02</v>
      </c>
      <c r="J262" s="25">
        <v>0.01</v>
      </c>
      <c r="K262" s="25">
        <v>1.2</v>
      </c>
      <c r="L262" s="25">
        <v>148</v>
      </c>
      <c r="M262" s="25">
        <v>30</v>
      </c>
      <c r="N262" s="25">
        <v>190</v>
      </c>
      <c r="O262" s="26">
        <v>0.2</v>
      </c>
    </row>
    <row r="263" spans="1:15" ht="16.5" thickBot="1" x14ac:dyDescent="0.3">
      <c r="A263" s="90" t="s">
        <v>20</v>
      </c>
      <c r="B263" s="91"/>
      <c r="C263" s="27">
        <f>SUM(C261:C262)</f>
        <v>275</v>
      </c>
      <c r="D263" s="9">
        <f>SUM(D261:D262)</f>
        <v>10.3</v>
      </c>
      <c r="E263" s="9">
        <f t="shared" ref="E263:O263" si="89">SUM(E261:E262)</f>
        <v>10.68</v>
      </c>
      <c r="F263" s="9">
        <f t="shared" si="89"/>
        <v>60.120000000000005</v>
      </c>
      <c r="G263" s="9">
        <f t="shared" si="89"/>
        <v>377.8</v>
      </c>
      <c r="H263" s="9">
        <f t="shared" si="89"/>
        <v>0.19900000000000001</v>
      </c>
      <c r="I263" s="9">
        <f t="shared" si="89"/>
        <v>0.37</v>
      </c>
      <c r="J263" s="9">
        <f t="shared" si="89"/>
        <v>4.7</v>
      </c>
      <c r="K263" s="9">
        <f t="shared" si="89"/>
        <v>32.6</v>
      </c>
      <c r="L263" s="9">
        <f t="shared" si="89"/>
        <v>181.46</v>
      </c>
      <c r="M263" s="9">
        <f t="shared" si="89"/>
        <v>36.75</v>
      </c>
      <c r="N263" s="9">
        <f t="shared" si="89"/>
        <v>226.9</v>
      </c>
      <c r="O263" s="10">
        <f t="shared" si="89"/>
        <v>1.1300000000000001</v>
      </c>
    </row>
    <row r="264" spans="1:15" ht="16.5" thickBot="1" x14ac:dyDescent="0.3">
      <c r="A264" s="28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30"/>
    </row>
    <row r="265" spans="1:15" ht="16.5" thickBot="1" x14ac:dyDescent="0.3">
      <c r="A265" s="90" t="s">
        <v>41</v>
      </c>
      <c r="B265" s="91"/>
      <c r="C265" s="9">
        <f t="shared" ref="C265:O265" si="90">C263+C259+C251</f>
        <v>1485</v>
      </c>
      <c r="D265" s="31">
        <f t="shared" si="90"/>
        <v>52.66</v>
      </c>
      <c r="E265" s="31">
        <f t="shared" si="90"/>
        <v>57.31</v>
      </c>
      <c r="F265" s="31">
        <f t="shared" si="90"/>
        <v>252.33</v>
      </c>
      <c r="G265" s="31">
        <f t="shared" si="90"/>
        <v>1735.7499999999998</v>
      </c>
      <c r="H265" s="9">
        <f t="shared" si="90"/>
        <v>0.90300000000000002</v>
      </c>
      <c r="I265" s="9">
        <f t="shared" si="90"/>
        <v>1.0250000000000001</v>
      </c>
      <c r="J265" s="9">
        <f t="shared" si="90"/>
        <v>45.160000000000004</v>
      </c>
      <c r="K265" s="9">
        <f t="shared" si="90"/>
        <v>524.45000000000005</v>
      </c>
      <c r="L265" s="9">
        <f t="shared" si="90"/>
        <v>825.61000000000013</v>
      </c>
      <c r="M265" s="9">
        <f t="shared" si="90"/>
        <v>187.45</v>
      </c>
      <c r="N265" s="9">
        <f t="shared" si="90"/>
        <v>725.43000000000006</v>
      </c>
      <c r="O265" s="10">
        <f t="shared" si="90"/>
        <v>9.1549999999999994</v>
      </c>
    </row>
    <row r="266" spans="1:15" s="1" customFormat="1" ht="15.75" x14ac:dyDescent="0.25">
      <c r="A266" s="32"/>
      <c r="B266" s="32"/>
      <c r="C266" s="34"/>
      <c r="D266" s="33"/>
      <c r="E266" s="33"/>
      <c r="F266" s="33"/>
      <c r="G266" s="33"/>
      <c r="H266" s="34"/>
      <c r="I266" s="34"/>
      <c r="J266" s="34"/>
      <c r="K266" s="34"/>
      <c r="L266" s="34"/>
      <c r="M266" s="34"/>
      <c r="N266" s="34"/>
      <c r="O266" s="34"/>
    </row>
    <row r="267" spans="1:15" s="1" customFormat="1" x14ac:dyDescent="0.25">
      <c r="A267" s="87" t="s">
        <v>209</v>
      </c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</row>
    <row r="268" spans="1:15" s="1" customFormat="1" ht="15.75" x14ac:dyDescent="0.25">
      <c r="A268" s="32"/>
      <c r="B268" s="32"/>
      <c r="C268" s="34"/>
      <c r="D268" s="33"/>
      <c r="E268" s="33"/>
      <c r="F268" s="33"/>
      <c r="G268" s="33"/>
      <c r="H268" s="34"/>
      <c r="I268" s="34"/>
      <c r="J268" s="34"/>
      <c r="K268" s="34"/>
      <c r="L268" s="34"/>
      <c r="M268" s="34"/>
      <c r="N268" s="34"/>
      <c r="O268" s="34"/>
    </row>
    <row r="269" spans="1:15" s="1" customFormat="1" x14ac:dyDescent="0.25">
      <c r="A269" s="88" t="s">
        <v>208</v>
      </c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</row>
    <row r="270" spans="1:15" s="1" customFormat="1" ht="15.75" x14ac:dyDescent="0.25">
      <c r="A270" s="32"/>
      <c r="B270" s="32"/>
      <c r="C270" s="34"/>
      <c r="D270" s="33"/>
      <c r="E270" s="33"/>
      <c r="F270" s="33"/>
      <c r="G270" s="33"/>
      <c r="H270" s="34"/>
      <c r="I270" s="34"/>
      <c r="J270" s="34"/>
      <c r="K270" s="34"/>
      <c r="L270" s="34"/>
      <c r="M270" s="34"/>
      <c r="N270" s="34"/>
      <c r="O270" s="34"/>
    </row>
    <row r="271" spans="1:15" s="1" customFormat="1" ht="16.5" thickBot="1" x14ac:dyDescent="0.3">
      <c r="A271" s="32"/>
      <c r="B271" s="32"/>
      <c r="C271" s="34"/>
      <c r="D271" s="33"/>
      <c r="E271" s="33"/>
      <c r="F271" s="33"/>
      <c r="G271" s="33"/>
      <c r="H271" s="34"/>
      <c r="I271" s="34"/>
      <c r="J271" s="34"/>
      <c r="K271" s="34"/>
      <c r="L271" s="34"/>
      <c r="M271" s="34"/>
      <c r="N271" s="34"/>
      <c r="O271" s="34"/>
    </row>
    <row r="272" spans="1:15" s="1" customFormat="1" ht="15" customHeight="1" x14ac:dyDescent="0.25">
      <c r="A272" s="98" t="s">
        <v>0</v>
      </c>
      <c r="B272" s="100" t="s">
        <v>1</v>
      </c>
      <c r="C272" s="102" t="s">
        <v>2</v>
      </c>
      <c r="D272" s="104" t="s">
        <v>3</v>
      </c>
      <c r="E272" s="105"/>
      <c r="F272" s="106"/>
      <c r="G272" s="102" t="s">
        <v>4</v>
      </c>
      <c r="H272" s="107" t="s">
        <v>5</v>
      </c>
      <c r="I272" s="107"/>
      <c r="J272" s="107"/>
      <c r="K272" s="107"/>
      <c r="L272" s="108" t="s">
        <v>6</v>
      </c>
      <c r="M272" s="109"/>
      <c r="N272" s="109"/>
      <c r="O272" s="110"/>
    </row>
    <row r="273" spans="1:15" ht="53.25" customHeight="1" thickBot="1" x14ac:dyDescent="0.3">
      <c r="A273" s="99"/>
      <c r="B273" s="101"/>
      <c r="C273" s="103"/>
      <c r="D273" s="35" t="s">
        <v>7</v>
      </c>
      <c r="E273" s="35" t="s">
        <v>8</v>
      </c>
      <c r="F273" s="35" t="s">
        <v>9</v>
      </c>
      <c r="G273" s="103"/>
      <c r="H273" s="36" t="s">
        <v>10</v>
      </c>
      <c r="I273" s="36" t="s">
        <v>16</v>
      </c>
      <c r="J273" s="36" t="s">
        <v>11</v>
      </c>
      <c r="K273" s="36" t="s">
        <v>17</v>
      </c>
      <c r="L273" s="37" t="s">
        <v>12</v>
      </c>
      <c r="M273" s="36" t="s">
        <v>13</v>
      </c>
      <c r="N273" s="36" t="s">
        <v>14</v>
      </c>
      <c r="O273" s="38" t="s">
        <v>15</v>
      </c>
    </row>
    <row r="274" spans="1:15" ht="15.75" x14ac:dyDescent="0.25">
      <c r="A274" s="84" t="s">
        <v>34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6"/>
    </row>
    <row r="275" spans="1:15" ht="15.75" x14ac:dyDescent="0.25">
      <c r="A275" s="92" t="s">
        <v>19</v>
      </c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4"/>
    </row>
    <row r="276" spans="1:15" ht="15.75" x14ac:dyDescent="0.25">
      <c r="A276" s="11" t="s">
        <v>162</v>
      </c>
      <c r="B276" s="12" t="s">
        <v>160</v>
      </c>
      <c r="C276" s="13">
        <v>100</v>
      </c>
      <c r="D276" s="13">
        <v>14.6</v>
      </c>
      <c r="E276" s="13">
        <v>7.15</v>
      </c>
      <c r="F276" s="13">
        <v>11.42</v>
      </c>
      <c r="G276" s="13">
        <f>4*(D276+F276)+(E276*9)</f>
        <v>168.43</v>
      </c>
      <c r="H276" s="13">
        <v>9.8000000000000004E-2</v>
      </c>
      <c r="I276" s="13">
        <v>2.1999999999999999E-2</v>
      </c>
      <c r="J276" s="13">
        <v>18</v>
      </c>
      <c r="K276" s="13">
        <v>148.30000000000001</v>
      </c>
      <c r="L276" s="13">
        <v>143.43</v>
      </c>
      <c r="M276" s="13">
        <v>21.5</v>
      </c>
      <c r="N276" s="13">
        <v>167.9</v>
      </c>
      <c r="O276" s="14">
        <v>2.5819999999999999</v>
      </c>
    </row>
    <row r="277" spans="1:15" ht="15.75" x14ac:dyDescent="0.25">
      <c r="A277" s="11" t="s">
        <v>113</v>
      </c>
      <c r="B277" s="12" t="s">
        <v>108</v>
      </c>
      <c r="C277" s="13">
        <v>150</v>
      </c>
      <c r="D277" s="13">
        <v>5.3</v>
      </c>
      <c r="E277" s="13">
        <v>6.2</v>
      </c>
      <c r="F277" s="13">
        <v>37.299999999999997</v>
      </c>
      <c r="G277" s="13">
        <f t="shared" ref="G277:G278" si="91">4*(D277+F277)+(9*E277)</f>
        <v>226.2</v>
      </c>
      <c r="H277" s="13">
        <v>0</v>
      </c>
      <c r="I277" s="13">
        <v>1.7999999999999999E-2</v>
      </c>
      <c r="J277" s="13">
        <v>0</v>
      </c>
      <c r="K277" s="13">
        <v>0</v>
      </c>
      <c r="L277" s="13">
        <v>95.35</v>
      </c>
      <c r="M277" s="13">
        <v>8.4</v>
      </c>
      <c r="N277" s="13">
        <v>8.24</v>
      </c>
      <c r="O277" s="14">
        <v>0.86</v>
      </c>
    </row>
    <row r="278" spans="1:15" ht="15.75" x14ac:dyDescent="0.25">
      <c r="A278" s="11"/>
      <c r="B278" s="12" t="s">
        <v>239</v>
      </c>
      <c r="C278" s="13">
        <v>30</v>
      </c>
      <c r="D278" s="13">
        <v>0.28000000000000003</v>
      </c>
      <c r="E278" s="13">
        <v>0.04</v>
      </c>
      <c r="F278" s="13">
        <v>0.96</v>
      </c>
      <c r="G278" s="13">
        <f t="shared" si="91"/>
        <v>5.32</v>
      </c>
      <c r="H278" s="13">
        <v>0.02</v>
      </c>
      <c r="I278" s="13">
        <v>0.75</v>
      </c>
      <c r="J278" s="13">
        <v>0.3</v>
      </c>
      <c r="K278" s="13">
        <v>0</v>
      </c>
      <c r="L278" s="13">
        <v>4.2</v>
      </c>
      <c r="M278" s="13">
        <v>6</v>
      </c>
      <c r="N278" s="13">
        <v>7.8</v>
      </c>
      <c r="O278" s="14">
        <v>0.3</v>
      </c>
    </row>
    <row r="279" spans="1:15" ht="15.75" x14ac:dyDescent="0.25">
      <c r="A279" s="11" t="s">
        <v>114</v>
      </c>
      <c r="B279" s="12" t="s">
        <v>84</v>
      </c>
      <c r="C279" s="13">
        <v>200</v>
      </c>
      <c r="D279" s="13">
        <v>0.05</v>
      </c>
      <c r="E279" s="13">
        <v>0.02</v>
      </c>
      <c r="F279" s="13">
        <v>9.32</v>
      </c>
      <c r="G279" s="13">
        <f t="shared" ref="G279:G280" si="92">4*(D279+F279)+(9*E279)</f>
        <v>37.660000000000004</v>
      </c>
      <c r="H279" s="13">
        <v>0</v>
      </c>
      <c r="I279" s="13">
        <v>0</v>
      </c>
      <c r="J279" s="13">
        <v>0.02</v>
      </c>
      <c r="K279" s="13">
        <v>0</v>
      </c>
      <c r="L279" s="13">
        <v>8</v>
      </c>
      <c r="M279" s="13">
        <v>0.9</v>
      </c>
      <c r="N279" s="13">
        <v>1.6</v>
      </c>
      <c r="O279" s="14">
        <v>0.19</v>
      </c>
    </row>
    <row r="280" spans="1:15" ht="16.5" thickBot="1" x14ac:dyDescent="0.3">
      <c r="A280" s="11"/>
      <c r="B280" s="12" t="s">
        <v>86</v>
      </c>
      <c r="C280" s="13">
        <v>25</v>
      </c>
      <c r="D280" s="13">
        <v>1.6</v>
      </c>
      <c r="E280" s="13">
        <v>0.2</v>
      </c>
      <c r="F280" s="13">
        <v>10.4</v>
      </c>
      <c r="G280" s="13">
        <f t="shared" si="92"/>
        <v>49.8</v>
      </c>
      <c r="H280" s="13">
        <v>2.1999999999999999E-2</v>
      </c>
      <c r="I280" s="13">
        <v>0.01</v>
      </c>
      <c r="J280" s="13">
        <v>0</v>
      </c>
      <c r="K280" s="13">
        <v>0</v>
      </c>
      <c r="L280" s="13">
        <v>4.5999999999999996</v>
      </c>
      <c r="M280" s="13">
        <v>2.1</v>
      </c>
      <c r="N280" s="13">
        <v>21.2</v>
      </c>
      <c r="O280" s="14">
        <v>0.2</v>
      </c>
    </row>
    <row r="281" spans="1:15" ht="16.5" thickBot="1" x14ac:dyDescent="0.3">
      <c r="A281" s="90" t="s">
        <v>20</v>
      </c>
      <c r="B281" s="91"/>
      <c r="C281" s="9">
        <f>SUM(C276:C280)</f>
        <v>505</v>
      </c>
      <c r="D281" s="9">
        <f t="shared" ref="D281:O281" si="93">SUM(D276:D280)</f>
        <v>21.830000000000002</v>
      </c>
      <c r="E281" s="9">
        <f t="shared" si="93"/>
        <v>13.61</v>
      </c>
      <c r="F281" s="9">
        <f t="shared" si="93"/>
        <v>69.400000000000006</v>
      </c>
      <c r="G281" s="9">
        <f t="shared" si="93"/>
        <v>487.41</v>
      </c>
      <c r="H281" s="9">
        <f t="shared" si="93"/>
        <v>0.14000000000000001</v>
      </c>
      <c r="I281" s="9">
        <f t="shared" si="93"/>
        <v>0.8</v>
      </c>
      <c r="J281" s="9">
        <f t="shared" si="93"/>
        <v>18.32</v>
      </c>
      <c r="K281" s="9">
        <f t="shared" si="93"/>
        <v>148.30000000000001</v>
      </c>
      <c r="L281" s="9">
        <f t="shared" si="93"/>
        <v>255.57999999999998</v>
      </c>
      <c r="M281" s="9">
        <f t="shared" si="93"/>
        <v>38.9</v>
      </c>
      <c r="N281" s="9">
        <f t="shared" si="93"/>
        <v>206.74</v>
      </c>
      <c r="O281" s="10">
        <f t="shared" si="93"/>
        <v>4.1319999999999997</v>
      </c>
    </row>
    <row r="282" spans="1:15" ht="15.75" x14ac:dyDescent="0.25">
      <c r="A282" s="95" t="s">
        <v>21</v>
      </c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7"/>
    </row>
    <row r="283" spans="1:15" ht="31.5" x14ac:dyDescent="0.25">
      <c r="A283" s="39"/>
      <c r="B283" s="46" t="s">
        <v>161</v>
      </c>
      <c r="C283" s="41">
        <v>270</v>
      </c>
      <c r="D283" s="41">
        <v>13.2</v>
      </c>
      <c r="E283" s="41">
        <v>17.5</v>
      </c>
      <c r="F283" s="41">
        <v>24.52</v>
      </c>
      <c r="G283" s="41">
        <f>4*(D283+F283)+(E283*9)</f>
        <v>308.38</v>
      </c>
      <c r="H283" s="41">
        <v>0.12</v>
      </c>
      <c r="I283" s="41">
        <v>1.2E-2</v>
      </c>
      <c r="J283" s="41">
        <v>4</v>
      </c>
      <c r="K283" s="41">
        <v>141.4</v>
      </c>
      <c r="L283" s="41">
        <v>112.44</v>
      </c>
      <c r="M283" s="41">
        <v>18.399999999999999</v>
      </c>
      <c r="N283" s="41">
        <v>144</v>
      </c>
      <c r="O283" s="42">
        <v>1.26</v>
      </c>
    </row>
    <row r="284" spans="1:15" ht="15.75" x14ac:dyDescent="0.25">
      <c r="A284" s="11" t="s">
        <v>195</v>
      </c>
      <c r="B284" s="12" t="s">
        <v>243</v>
      </c>
      <c r="C284" s="13">
        <v>100</v>
      </c>
      <c r="D284" s="13">
        <v>8.4</v>
      </c>
      <c r="E284" s="13">
        <v>10.94</v>
      </c>
      <c r="F284" s="13">
        <v>17.399999999999999</v>
      </c>
      <c r="G284" s="41">
        <f t="shared" ref="G284:G289" si="94">4*(D284+F284)+(E284*9)</f>
        <v>201.65999999999997</v>
      </c>
      <c r="H284" s="13">
        <v>0.2</v>
      </c>
      <c r="I284" s="13">
        <v>1.0999999999999999E-2</v>
      </c>
      <c r="J284" s="13">
        <v>22</v>
      </c>
      <c r="K284" s="13">
        <v>132</v>
      </c>
      <c r="L284" s="13">
        <v>123.2</v>
      </c>
      <c r="M284" s="13">
        <v>19.600000000000001</v>
      </c>
      <c r="N284" s="13">
        <v>107.4</v>
      </c>
      <c r="O284" s="14">
        <v>1.232</v>
      </c>
    </row>
    <row r="285" spans="1:15" s="1" customFormat="1" ht="15.75" x14ac:dyDescent="0.25">
      <c r="A285" s="11" t="s">
        <v>104</v>
      </c>
      <c r="B285" s="12" t="s">
        <v>131</v>
      </c>
      <c r="C285" s="13">
        <v>150</v>
      </c>
      <c r="D285" s="13">
        <v>3.29</v>
      </c>
      <c r="E285" s="13">
        <v>4.88</v>
      </c>
      <c r="F285" s="13">
        <v>34.26</v>
      </c>
      <c r="G285" s="13">
        <f t="shared" ref="G285" si="95">4*(D285+F285)+(9*E285)</f>
        <v>194.12</v>
      </c>
      <c r="H285" s="13">
        <v>0.21</v>
      </c>
      <c r="I285" s="13">
        <v>0</v>
      </c>
      <c r="J285" s="13">
        <v>0.05</v>
      </c>
      <c r="K285" s="13">
        <v>28.5</v>
      </c>
      <c r="L285" s="13">
        <v>97.24</v>
      </c>
      <c r="M285" s="13">
        <v>36.200000000000003</v>
      </c>
      <c r="N285" s="13">
        <v>96</v>
      </c>
      <c r="O285" s="14">
        <v>1.03</v>
      </c>
    </row>
    <row r="286" spans="1:15" ht="15.75" x14ac:dyDescent="0.25">
      <c r="A286" s="11" t="s">
        <v>242</v>
      </c>
      <c r="B286" s="12" t="s">
        <v>241</v>
      </c>
      <c r="C286" s="13">
        <v>60</v>
      </c>
      <c r="D286" s="13">
        <v>0.66</v>
      </c>
      <c r="E286" s="13">
        <v>1.2</v>
      </c>
      <c r="F286" s="13">
        <v>2.1</v>
      </c>
      <c r="G286" s="41">
        <f t="shared" si="94"/>
        <v>21.84</v>
      </c>
      <c r="H286" s="13">
        <v>0</v>
      </c>
      <c r="I286" s="13">
        <v>1.4E-2</v>
      </c>
      <c r="J286" s="13">
        <v>1.5</v>
      </c>
      <c r="K286" s="13">
        <v>0</v>
      </c>
      <c r="L286" s="13">
        <v>8.4</v>
      </c>
      <c r="M286" s="13">
        <v>6</v>
      </c>
      <c r="N286" s="13">
        <v>15.6</v>
      </c>
      <c r="O286" s="14">
        <v>0.54</v>
      </c>
    </row>
    <row r="287" spans="1:15" ht="15.75" x14ac:dyDescent="0.25">
      <c r="A287" s="11" t="s">
        <v>112</v>
      </c>
      <c r="B287" s="12" t="s">
        <v>91</v>
      </c>
      <c r="C287" s="13">
        <v>180</v>
      </c>
      <c r="D287" s="13">
        <v>0.12</v>
      </c>
      <c r="E287" s="13">
        <v>0</v>
      </c>
      <c r="F287" s="13">
        <v>27.4</v>
      </c>
      <c r="G287" s="41">
        <f t="shared" si="94"/>
        <v>110.08</v>
      </c>
      <c r="H287" s="13">
        <v>4.2999999999999997E-2</v>
      </c>
      <c r="I287" s="13">
        <v>1.6E-2</v>
      </c>
      <c r="J287" s="13">
        <v>0</v>
      </c>
      <c r="K287" s="13">
        <v>0.16</v>
      </c>
      <c r="L287" s="13">
        <v>12.6</v>
      </c>
      <c r="M287" s="13">
        <v>36.299999999999997</v>
      </c>
      <c r="N287" s="13">
        <v>8.9</v>
      </c>
      <c r="O287" s="14">
        <v>0.26100000000000001</v>
      </c>
    </row>
    <row r="288" spans="1:15" ht="15.75" x14ac:dyDescent="0.25">
      <c r="A288" s="11"/>
      <c r="B288" s="12" t="s">
        <v>86</v>
      </c>
      <c r="C288" s="13">
        <v>25</v>
      </c>
      <c r="D288" s="13">
        <v>1.6</v>
      </c>
      <c r="E288" s="13">
        <v>0.2</v>
      </c>
      <c r="F288" s="13">
        <v>10.4</v>
      </c>
      <c r="G288" s="41">
        <f t="shared" si="94"/>
        <v>49.8</v>
      </c>
      <c r="H288" s="13">
        <v>2.1999999999999999E-2</v>
      </c>
      <c r="I288" s="13">
        <v>0.01</v>
      </c>
      <c r="J288" s="13">
        <v>0</v>
      </c>
      <c r="K288" s="13">
        <v>0</v>
      </c>
      <c r="L288" s="13">
        <v>4.5999999999999996</v>
      </c>
      <c r="M288" s="13">
        <v>2.1</v>
      </c>
      <c r="N288" s="13">
        <v>21.2</v>
      </c>
      <c r="O288" s="14">
        <v>0.2</v>
      </c>
    </row>
    <row r="289" spans="1:15" ht="16.5" thickBot="1" x14ac:dyDescent="0.3">
      <c r="A289" s="23"/>
      <c r="B289" s="24" t="s">
        <v>92</v>
      </c>
      <c r="C289" s="25">
        <v>25</v>
      </c>
      <c r="D289" s="13">
        <v>1.3</v>
      </c>
      <c r="E289" s="13">
        <v>0.2</v>
      </c>
      <c r="F289" s="13">
        <v>8.1999999999999993</v>
      </c>
      <c r="G289" s="41">
        <f t="shared" si="94"/>
        <v>39.799999999999997</v>
      </c>
      <c r="H289" s="13">
        <v>2.1999999999999999E-2</v>
      </c>
      <c r="I289" s="13">
        <v>0.01</v>
      </c>
      <c r="J289" s="13">
        <v>0</v>
      </c>
      <c r="K289" s="13">
        <v>0</v>
      </c>
      <c r="L289" s="13">
        <v>5</v>
      </c>
      <c r="M289" s="13">
        <v>2.8</v>
      </c>
      <c r="N289" s="13">
        <v>13</v>
      </c>
      <c r="O289" s="14">
        <v>0.22</v>
      </c>
    </row>
    <row r="290" spans="1:15" ht="16.5" thickBot="1" x14ac:dyDescent="0.3">
      <c r="A290" s="90" t="s">
        <v>20</v>
      </c>
      <c r="B290" s="91"/>
      <c r="C290" s="9">
        <f>SUM(C283:C289)</f>
        <v>810</v>
      </c>
      <c r="D290" s="9">
        <f t="shared" ref="D290:O290" si="96">SUM(D283:D289)</f>
        <v>28.570000000000004</v>
      </c>
      <c r="E290" s="9">
        <f t="shared" si="96"/>
        <v>34.920000000000009</v>
      </c>
      <c r="F290" s="9">
        <f t="shared" si="96"/>
        <v>124.28000000000002</v>
      </c>
      <c r="G290" s="9">
        <f t="shared" si="96"/>
        <v>925.68</v>
      </c>
      <c r="H290" s="9">
        <f t="shared" si="96"/>
        <v>0.6170000000000001</v>
      </c>
      <c r="I290" s="9">
        <f t="shared" si="96"/>
        <v>7.2999999999999995E-2</v>
      </c>
      <c r="J290" s="9">
        <f t="shared" si="96"/>
        <v>27.55</v>
      </c>
      <c r="K290" s="9">
        <f t="shared" si="96"/>
        <v>302.06</v>
      </c>
      <c r="L290" s="9">
        <f t="shared" si="96"/>
        <v>363.48</v>
      </c>
      <c r="M290" s="9">
        <f t="shared" si="96"/>
        <v>121.39999999999999</v>
      </c>
      <c r="N290" s="9">
        <f t="shared" si="96"/>
        <v>406.09999999999997</v>
      </c>
      <c r="O290" s="10">
        <f t="shared" si="96"/>
        <v>4.7430000000000003</v>
      </c>
    </row>
    <row r="291" spans="1:15" ht="15.75" x14ac:dyDescent="0.25">
      <c r="A291" s="95" t="s">
        <v>22</v>
      </c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7"/>
    </row>
    <row r="292" spans="1:15" ht="15.75" x14ac:dyDescent="0.25">
      <c r="A292" s="11"/>
      <c r="B292" s="12" t="s">
        <v>244</v>
      </c>
      <c r="C292" s="13">
        <v>65</v>
      </c>
      <c r="D292" s="13">
        <v>0.375</v>
      </c>
      <c r="E292" s="13">
        <v>5.48</v>
      </c>
      <c r="F292" s="13">
        <v>37.049999999999997</v>
      </c>
      <c r="G292" s="13">
        <f>4*(D292+F292)+(9*E292)</f>
        <v>199.01999999999998</v>
      </c>
      <c r="H292" s="13">
        <v>0.09</v>
      </c>
      <c r="I292" s="13">
        <v>0.02</v>
      </c>
      <c r="J292" s="13">
        <v>0</v>
      </c>
      <c r="K292" s="13">
        <v>74.3</v>
      </c>
      <c r="L292" s="13">
        <v>63.94</v>
      </c>
      <c r="M292" s="13">
        <v>6.25</v>
      </c>
      <c r="N292" s="13">
        <v>98.8</v>
      </c>
      <c r="O292" s="14">
        <v>0</v>
      </c>
    </row>
    <row r="293" spans="1:15" ht="16.5" thickBot="1" x14ac:dyDescent="0.3">
      <c r="A293" s="23"/>
      <c r="B293" s="24" t="s">
        <v>132</v>
      </c>
      <c r="C293" s="25">
        <v>200</v>
      </c>
      <c r="D293" s="25">
        <v>5.4</v>
      </c>
      <c r="E293" s="25">
        <v>5</v>
      </c>
      <c r="F293" s="25">
        <v>20.16</v>
      </c>
      <c r="G293" s="13">
        <f>4*(D293+F293)+(9*E293)</f>
        <v>147.24</v>
      </c>
      <c r="H293" s="25">
        <v>0.06</v>
      </c>
      <c r="I293" s="25">
        <v>0.16</v>
      </c>
      <c r="J293" s="25">
        <v>0.04</v>
      </c>
      <c r="K293" s="25">
        <v>0</v>
      </c>
      <c r="L293" s="25">
        <v>142</v>
      </c>
      <c r="M293" s="25">
        <v>21</v>
      </c>
      <c r="N293" s="25">
        <v>114</v>
      </c>
      <c r="O293" s="26">
        <v>0.2</v>
      </c>
    </row>
    <row r="294" spans="1:15" ht="16.5" thickBot="1" x14ac:dyDescent="0.3">
      <c r="A294" s="90" t="s">
        <v>20</v>
      </c>
      <c r="B294" s="91"/>
      <c r="C294" s="27">
        <f>SUM(C292:C293)</f>
        <v>265</v>
      </c>
      <c r="D294" s="9">
        <f>SUM(D292:D293)</f>
        <v>5.7750000000000004</v>
      </c>
      <c r="E294" s="9">
        <f t="shared" ref="E294:O294" si="97">SUM(E292:E293)</f>
        <v>10.48</v>
      </c>
      <c r="F294" s="9">
        <f t="shared" si="97"/>
        <v>57.209999999999994</v>
      </c>
      <c r="G294" s="9">
        <f t="shared" si="97"/>
        <v>346.26</v>
      </c>
      <c r="H294" s="9">
        <f t="shared" si="97"/>
        <v>0.15</v>
      </c>
      <c r="I294" s="9">
        <f t="shared" si="97"/>
        <v>0.18</v>
      </c>
      <c r="J294" s="9">
        <f t="shared" si="97"/>
        <v>0.04</v>
      </c>
      <c r="K294" s="9">
        <f t="shared" si="97"/>
        <v>74.3</v>
      </c>
      <c r="L294" s="9">
        <f t="shared" si="97"/>
        <v>205.94</v>
      </c>
      <c r="M294" s="9">
        <f t="shared" si="97"/>
        <v>27.25</v>
      </c>
      <c r="N294" s="9">
        <f t="shared" si="97"/>
        <v>212.8</v>
      </c>
      <c r="O294" s="10">
        <f t="shared" si="97"/>
        <v>0.2</v>
      </c>
    </row>
    <row r="295" spans="1:15" ht="16.5" thickBot="1" x14ac:dyDescent="0.3">
      <c r="A295" s="28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30"/>
    </row>
    <row r="296" spans="1:15" ht="16.5" thickBot="1" x14ac:dyDescent="0.3">
      <c r="A296" s="90" t="s">
        <v>40</v>
      </c>
      <c r="B296" s="91"/>
      <c r="C296" s="9">
        <f>C294+C290+C281</f>
        <v>1580</v>
      </c>
      <c r="D296" s="51">
        <f t="shared" ref="D296:O296" si="98">D294+D290+D281</f>
        <v>56.175000000000011</v>
      </c>
      <c r="E296" s="31">
        <f t="shared" si="98"/>
        <v>59.010000000000005</v>
      </c>
      <c r="F296" s="31">
        <f t="shared" si="98"/>
        <v>250.89000000000001</v>
      </c>
      <c r="G296" s="31">
        <f t="shared" si="98"/>
        <v>1759.3500000000001</v>
      </c>
      <c r="H296" s="9">
        <f t="shared" si="98"/>
        <v>0.90700000000000014</v>
      </c>
      <c r="I296" s="9">
        <f t="shared" si="98"/>
        <v>1.0529999999999999</v>
      </c>
      <c r="J296" s="9">
        <f t="shared" si="98"/>
        <v>45.91</v>
      </c>
      <c r="K296" s="9">
        <f t="shared" si="98"/>
        <v>524.66000000000008</v>
      </c>
      <c r="L296" s="27">
        <f t="shared" si="98"/>
        <v>825</v>
      </c>
      <c r="M296" s="9">
        <f t="shared" si="98"/>
        <v>187.54999999999998</v>
      </c>
      <c r="N296" s="27">
        <f t="shared" si="98"/>
        <v>825.64</v>
      </c>
      <c r="O296" s="10">
        <f t="shared" si="98"/>
        <v>9.0749999999999993</v>
      </c>
    </row>
    <row r="297" spans="1:15" s="1" customFormat="1" ht="15.75" x14ac:dyDescent="0.25">
      <c r="A297" s="32"/>
      <c r="B297" s="32"/>
      <c r="C297" s="52"/>
      <c r="D297" s="53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</row>
    <row r="298" spans="1:15" s="1" customFormat="1" x14ac:dyDescent="0.25">
      <c r="A298" s="87" t="s">
        <v>209</v>
      </c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</row>
    <row r="299" spans="1:15" s="1" customFormat="1" ht="15.75" x14ac:dyDescent="0.25">
      <c r="A299" s="32"/>
      <c r="B299" s="32"/>
      <c r="C299" s="52"/>
      <c r="D299" s="53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</row>
    <row r="300" spans="1:15" s="1" customFormat="1" x14ac:dyDescent="0.25">
      <c r="A300" s="88" t="s">
        <v>208</v>
      </c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</row>
    <row r="301" spans="1:15" s="1" customFormat="1" ht="15.75" x14ac:dyDescent="0.25">
      <c r="A301" s="32"/>
      <c r="B301" s="32"/>
      <c r="C301" s="52"/>
      <c r="D301" s="53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</row>
    <row r="302" spans="1:15" ht="16.5" thickBot="1" x14ac:dyDescent="0.3">
      <c r="A302" s="54"/>
      <c r="B302" s="54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</row>
    <row r="303" spans="1:15" ht="15.75" x14ac:dyDescent="0.25">
      <c r="A303" s="140" t="s">
        <v>35</v>
      </c>
      <c r="B303" s="141"/>
      <c r="C303" s="141"/>
      <c r="D303" s="141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</row>
    <row r="304" spans="1:15" ht="15.75" x14ac:dyDescent="0.25">
      <c r="A304" s="138" t="s">
        <v>36</v>
      </c>
      <c r="B304" s="139"/>
      <c r="C304" s="56">
        <f t="shared" ref="C304:O304" si="99">SUM(C12+C41+C73+C103+C133+C162+C191+C221+C251+C281)/10</f>
        <v>507</v>
      </c>
      <c r="D304" s="57">
        <f t="shared" si="99"/>
        <v>18.183</v>
      </c>
      <c r="E304" s="57">
        <f t="shared" si="99"/>
        <v>18.402000000000005</v>
      </c>
      <c r="F304" s="57">
        <f t="shared" si="99"/>
        <v>81.995999999999995</v>
      </c>
      <c r="G304" s="57">
        <f t="shared" si="99"/>
        <v>566.33400000000006</v>
      </c>
      <c r="H304" s="57">
        <f t="shared" si="99"/>
        <v>0.25050000000000006</v>
      </c>
      <c r="I304" s="57">
        <f t="shared" si="99"/>
        <v>0.29565000000000002</v>
      </c>
      <c r="J304" s="57">
        <f t="shared" si="99"/>
        <v>15.163499999999999</v>
      </c>
      <c r="K304" s="57">
        <f t="shared" si="99"/>
        <v>213.63299999999998</v>
      </c>
      <c r="L304" s="57">
        <f t="shared" si="99"/>
        <v>284.39399999999995</v>
      </c>
      <c r="M304" s="57">
        <f t="shared" si="99"/>
        <v>52.754999999999995</v>
      </c>
      <c r="N304" s="57">
        <f t="shared" si="99"/>
        <v>259.416</v>
      </c>
      <c r="O304" s="57">
        <f t="shared" si="99"/>
        <v>2.7982</v>
      </c>
    </row>
    <row r="305" spans="1:15" ht="15.75" x14ac:dyDescent="0.25">
      <c r="A305" s="138" t="s">
        <v>37</v>
      </c>
      <c r="B305" s="139"/>
      <c r="C305" s="56">
        <f t="shared" ref="C305:O305" si="100">SUM(C20+C50+C81+C111+C141+C170+C199+C229+C259+C290)/10</f>
        <v>741</v>
      </c>
      <c r="D305" s="57">
        <f t="shared" si="100"/>
        <v>30.401500000000006</v>
      </c>
      <c r="E305" s="57">
        <f t="shared" si="100"/>
        <v>30.5</v>
      </c>
      <c r="F305" s="57">
        <f t="shared" si="100"/>
        <v>115.51399999999998</v>
      </c>
      <c r="G305" s="57">
        <f t="shared" si="100"/>
        <v>858.16199999999992</v>
      </c>
      <c r="H305" s="57">
        <f t="shared" si="100"/>
        <v>0.4965</v>
      </c>
      <c r="I305" s="57">
        <f t="shared" si="100"/>
        <v>0.5869000000000002</v>
      </c>
      <c r="J305" s="57">
        <f t="shared" si="100"/>
        <v>26.678099999999993</v>
      </c>
      <c r="K305" s="57">
        <f t="shared" si="100"/>
        <v>251.17800000000003</v>
      </c>
      <c r="L305" s="57">
        <f t="shared" si="100"/>
        <v>343.77900000000005</v>
      </c>
      <c r="M305" s="57">
        <f t="shared" si="100"/>
        <v>101.70899999999999</v>
      </c>
      <c r="N305" s="57">
        <f t="shared" si="100"/>
        <v>368.50700000000006</v>
      </c>
      <c r="O305" s="57">
        <f t="shared" si="100"/>
        <v>5.2405000000000008</v>
      </c>
    </row>
    <row r="306" spans="1:15" ht="15.75" x14ac:dyDescent="0.25">
      <c r="A306" s="138" t="s">
        <v>38</v>
      </c>
      <c r="B306" s="139"/>
      <c r="C306" s="56">
        <f t="shared" ref="C306:O306" si="101">SUM(C24+C55+C86+C115+C145+C174+C203+C234+C263+C294)/10</f>
        <v>287.5</v>
      </c>
      <c r="D306" s="57">
        <f t="shared" si="101"/>
        <v>8.7324999999999999</v>
      </c>
      <c r="E306" s="57">
        <f t="shared" si="101"/>
        <v>9.9719999999999978</v>
      </c>
      <c r="F306" s="57">
        <f t="shared" si="101"/>
        <v>54.338999999999999</v>
      </c>
      <c r="G306" s="57">
        <f t="shared" si="101"/>
        <v>342.03399999999999</v>
      </c>
      <c r="H306" s="57">
        <f t="shared" si="101"/>
        <v>0.15710000000000002</v>
      </c>
      <c r="I306" s="57">
        <f t="shared" si="101"/>
        <v>0.17329999999999998</v>
      </c>
      <c r="J306" s="57">
        <f t="shared" si="101"/>
        <v>3.9520000000000004</v>
      </c>
      <c r="K306" s="57">
        <f t="shared" si="101"/>
        <v>63.03799999999999</v>
      </c>
      <c r="L306" s="57">
        <f t="shared" si="101"/>
        <v>196.92500000000001</v>
      </c>
      <c r="M306" s="57">
        <f t="shared" si="101"/>
        <v>33.101999999999997</v>
      </c>
      <c r="N306" s="57">
        <f t="shared" si="101"/>
        <v>187.61200000000002</v>
      </c>
      <c r="O306" s="57">
        <f t="shared" si="101"/>
        <v>1.0834000000000001</v>
      </c>
    </row>
    <row r="307" spans="1:15" s="1" customFormat="1" ht="15.75" x14ac:dyDescent="0.25">
      <c r="A307" s="134" t="s">
        <v>39</v>
      </c>
      <c r="B307" s="135"/>
      <c r="C307" s="56"/>
      <c r="D307" s="57">
        <f t="shared" ref="D307:O307" si="102">SUM(D26+D57+D88+D117+D147+D176+D205+D236+D265+D296)/10</f>
        <v>57.317000000000007</v>
      </c>
      <c r="E307" s="57">
        <f t="shared" si="102"/>
        <v>58.874000000000002</v>
      </c>
      <c r="F307" s="57">
        <f t="shared" si="102"/>
        <v>251.84899999999999</v>
      </c>
      <c r="G307" s="57">
        <f t="shared" si="102"/>
        <v>1766.53</v>
      </c>
      <c r="H307" s="57">
        <f t="shared" si="102"/>
        <v>0.90410000000000001</v>
      </c>
      <c r="I307" s="57">
        <f t="shared" si="102"/>
        <v>1.0558500000000002</v>
      </c>
      <c r="J307" s="57">
        <f t="shared" si="102"/>
        <v>45.793600000000005</v>
      </c>
      <c r="K307" s="57">
        <f t="shared" si="102"/>
        <v>527.84899999999993</v>
      </c>
      <c r="L307" s="57">
        <f t="shared" si="102"/>
        <v>825.09799999999996</v>
      </c>
      <c r="M307" s="57">
        <f t="shared" si="102"/>
        <v>187.566</v>
      </c>
      <c r="N307" s="57">
        <f t="shared" si="102"/>
        <v>815.53500000000008</v>
      </c>
      <c r="O307" s="57">
        <f t="shared" si="102"/>
        <v>9.1221000000000014</v>
      </c>
    </row>
    <row r="308" spans="1:15" ht="15.75" x14ac:dyDescent="0.25">
      <c r="A308" s="136" t="s">
        <v>81</v>
      </c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</row>
    <row r="309" spans="1:15" ht="15.75" x14ac:dyDescent="0.25">
      <c r="A309" s="138" t="s">
        <v>36</v>
      </c>
      <c r="B309" s="139"/>
      <c r="C309" s="56">
        <f>C304*100/500</f>
        <v>101.4</v>
      </c>
      <c r="D309" s="57">
        <f>D304*100/19.25</f>
        <v>94.457142857142856</v>
      </c>
      <c r="E309" s="57">
        <f>E304*100/19.75</f>
        <v>93.174683544303818</v>
      </c>
      <c r="F309" s="57">
        <f>F304*100/83.75</f>
        <v>97.905671641791045</v>
      </c>
      <c r="G309" s="57">
        <f>G304*100/587.5</f>
        <v>96.3972765957447</v>
      </c>
      <c r="H309" s="57">
        <f>H304*100/0.3</f>
        <v>83.500000000000014</v>
      </c>
      <c r="I309" s="57">
        <f>I304*100/0.35</f>
        <v>84.471428571428575</v>
      </c>
      <c r="J309" s="57">
        <f>J304*100/15</f>
        <v>101.08999999999999</v>
      </c>
      <c r="K309" s="57">
        <f>K304*100/175</f>
        <v>122.07599999999999</v>
      </c>
      <c r="L309" s="57">
        <f>L304*100/275</f>
        <v>103.41599999999998</v>
      </c>
      <c r="M309" s="57">
        <f>M304*100/62.5</f>
        <v>84.408000000000001</v>
      </c>
      <c r="N309" s="57">
        <f>N304*100/275</f>
        <v>94.333090909090899</v>
      </c>
      <c r="O309" s="57">
        <f>O304*100/3</f>
        <v>93.273333333333326</v>
      </c>
    </row>
    <row r="310" spans="1:15" ht="15.75" x14ac:dyDescent="0.25">
      <c r="A310" s="138" t="s">
        <v>37</v>
      </c>
      <c r="B310" s="139"/>
      <c r="C310" s="56">
        <f>C305*100/700</f>
        <v>105.85714285714286</v>
      </c>
      <c r="D310" s="57">
        <f>D305*100/26.95</f>
        <v>112.8070500927644</v>
      </c>
      <c r="E310" s="57">
        <f>E305*100/27.65</f>
        <v>110.30741410488247</v>
      </c>
      <c r="F310" s="57">
        <f>F305*100/117.25</f>
        <v>98.519402985074606</v>
      </c>
      <c r="G310" s="57">
        <f>G305*100/822.5</f>
        <v>104.33580547112462</v>
      </c>
      <c r="H310" s="57">
        <f>H305*100/0.42</f>
        <v>118.21428571428571</v>
      </c>
      <c r="I310" s="57">
        <f>I305*100/0.49</f>
        <v>119.77551020408167</v>
      </c>
      <c r="J310" s="57">
        <f>J305*100/21</f>
        <v>127.0385714285714</v>
      </c>
      <c r="K310" s="57">
        <f>K305*100/245</f>
        <v>102.52163265306123</v>
      </c>
      <c r="L310" s="57">
        <f>L305*100/385</f>
        <v>89.293246753246777</v>
      </c>
      <c r="M310" s="57">
        <f>M305*100/87.5</f>
        <v>116.23885714285714</v>
      </c>
      <c r="N310" s="57">
        <f>N305*100/385</f>
        <v>95.716103896103903</v>
      </c>
      <c r="O310" s="57">
        <f>O305*100/4.2</f>
        <v>124.77380952380953</v>
      </c>
    </row>
    <row r="311" spans="1:15" ht="15.75" x14ac:dyDescent="0.25">
      <c r="A311" s="138" t="s">
        <v>38</v>
      </c>
      <c r="B311" s="139"/>
      <c r="C311" s="57">
        <f>C306*100/300</f>
        <v>95.833333333333329</v>
      </c>
      <c r="D311" s="57">
        <f>D306*100/11.55</f>
        <v>75.606060606060595</v>
      </c>
      <c r="E311" s="57">
        <f>E306*100/11.85</f>
        <v>84.151898734177209</v>
      </c>
      <c r="F311" s="57">
        <f>F306*100/50.25</f>
        <v>108.13731343283581</v>
      </c>
      <c r="G311" s="57">
        <f>G306*100/352.5</f>
        <v>97.03092198581561</v>
      </c>
      <c r="H311" s="57">
        <f>H306*100/0.18</f>
        <v>87.277777777777786</v>
      </c>
      <c r="I311" s="57">
        <f>I306*100/0.21</f>
        <v>82.523809523809518</v>
      </c>
      <c r="J311" s="57">
        <f>J306*100/9</f>
        <v>43.911111111111119</v>
      </c>
      <c r="K311" s="57">
        <f>K306*100/105</f>
        <v>60.03619047619047</v>
      </c>
      <c r="L311" s="57">
        <f>L306*100/165</f>
        <v>119.34848484848484</v>
      </c>
      <c r="M311" s="57">
        <f>M306*100/37.5</f>
        <v>88.271999999999991</v>
      </c>
      <c r="N311" s="57">
        <f>N306*100/165</f>
        <v>113.70424242424242</v>
      </c>
      <c r="O311" s="57">
        <f>O306*100/1.8</f>
        <v>60.188888888888897</v>
      </c>
    </row>
    <row r="312" spans="1:15" ht="16.5" thickBot="1" x14ac:dyDescent="0.3">
      <c r="A312" s="132" t="s">
        <v>39</v>
      </c>
      <c r="B312" s="133"/>
      <c r="C312" s="8">
        <f>(C304+C305+C306)*100/1500</f>
        <v>102.36666666666666</v>
      </c>
      <c r="D312" s="8">
        <f>D307*100/57.75</f>
        <v>99.250216450216456</v>
      </c>
      <c r="E312" s="8">
        <f>E307*100/59.25</f>
        <v>99.365400843881872</v>
      </c>
      <c r="F312" s="8">
        <f>F307*100/251.25</f>
        <v>100.238407960199</v>
      </c>
      <c r="G312" s="8">
        <f>G307*100/1762.5</f>
        <v>100.22865248226951</v>
      </c>
      <c r="H312" s="8">
        <f>H307*100/0.9</f>
        <v>100.45555555555555</v>
      </c>
      <c r="I312" s="8">
        <f>I307*100/1.05</f>
        <v>100.55714285714288</v>
      </c>
      <c r="J312" s="8">
        <f>J307*100/45</f>
        <v>101.76355555555557</v>
      </c>
      <c r="K312" s="8">
        <f>K307*100/525</f>
        <v>100.54266666666666</v>
      </c>
      <c r="L312" s="8">
        <f>L307*100/825</f>
        <v>100.01187878787877</v>
      </c>
      <c r="M312" s="8">
        <f>M307*100/187.5</f>
        <v>100.03519999999999</v>
      </c>
      <c r="N312" s="8">
        <f>N307*100/825</f>
        <v>98.852727272727293</v>
      </c>
      <c r="O312" s="8">
        <f>O307*100/9</f>
        <v>101.35666666666668</v>
      </c>
    </row>
  </sheetData>
  <sheetProtection password="CC3B" sheet="1" objects="1" scenarios="1"/>
  <mergeCells count="181">
    <mergeCell ref="A243:A244"/>
    <mergeCell ref="B243:B244"/>
    <mergeCell ref="C243:C244"/>
    <mergeCell ref="D243:F243"/>
    <mergeCell ref="G243:G244"/>
    <mergeCell ref="H243:K243"/>
    <mergeCell ref="L243:O243"/>
    <mergeCell ref="A272:A273"/>
    <mergeCell ref="B272:B273"/>
    <mergeCell ref="C272:C273"/>
    <mergeCell ref="D272:F272"/>
    <mergeCell ref="G272:G273"/>
    <mergeCell ref="H272:K272"/>
    <mergeCell ref="L272:O272"/>
    <mergeCell ref="A183:A184"/>
    <mergeCell ref="B183:B184"/>
    <mergeCell ref="C183:C184"/>
    <mergeCell ref="D183:F183"/>
    <mergeCell ref="G183:G184"/>
    <mergeCell ref="H183:K183"/>
    <mergeCell ref="L183:O183"/>
    <mergeCell ref="H95:K95"/>
    <mergeCell ref="L95:O95"/>
    <mergeCell ref="A124:A125"/>
    <mergeCell ref="B124:B125"/>
    <mergeCell ref="C124:C125"/>
    <mergeCell ref="D124:F124"/>
    <mergeCell ref="G124:G125"/>
    <mergeCell ref="H124:K124"/>
    <mergeCell ref="L124:O124"/>
    <mergeCell ref="A147:B147"/>
    <mergeCell ref="A156:O156"/>
    <mergeCell ref="A157:O157"/>
    <mergeCell ref="A162:B162"/>
    <mergeCell ref="A163:O163"/>
    <mergeCell ref="A149:O149"/>
    <mergeCell ref="A151:O151"/>
    <mergeCell ref="A133:B133"/>
    <mergeCell ref="A1:O1"/>
    <mergeCell ref="A28:O28"/>
    <mergeCell ref="A30:O30"/>
    <mergeCell ref="A59:O59"/>
    <mergeCell ref="A61:O61"/>
    <mergeCell ref="A281:B281"/>
    <mergeCell ref="A282:O282"/>
    <mergeCell ref="A290:B290"/>
    <mergeCell ref="A291:O291"/>
    <mergeCell ref="A260:O260"/>
    <mergeCell ref="A263:B263"/>
    <mergeCell ref="A265:B265"/>
    <mergeCell ref="A274:O274"/>
    <mergeCell ref="A275:O275"/>
    <mergeCell ref="A245:O245"/>
    <mergeCell ref="A246:O246"/>
    <mergeCell ref="A251:B251"/>
    <mergeCell ref="A252:O252"/>
    <mergeCell ref="A259:B259"/>
    <mergeCell ref="A222:O222"/>
    <mergeCell ref="A33:A34"/>
    <mergeCell ref="B33:B34"/>
    <mergeCell ref="C33:C34"/>
    <mergeCell ref="D33:F33"/>
    <mergeCell ref="A209:O209"/>
    <mergeCell ref="A312:B312"/>
    <mergeCell ref="A307:B307"/>
    <mergeCell ref="A308:O308"/>
    <mergeCell ref="A309:B309"/>
    <mergeCell ref="A310:B310"/>
    <mergeCell ref="A311:B311"/>
    <mergeCell ref="A296:B296"/>
    <mergeCell ref="A303:O303"/>
    <mergeCell ref="A304:B304"/>
    <mergeCell ref="A305:B305"/>
    <mergeCell ref="A306:B306"/>
    <mergeCell ref="A300:O300"/>
    <mergeCell ref="A267:O267"/>
    <mergeCell ref="A269:O269"/>
    <mergeCell ref="A298:O298"/>
    <mergeCell ref="A294:B294"/>
    <mergeCell ref="A212:A213"/>
    <mergeCell ref="B212:B213"/>
    <mergeCell ref="C212:C213"/>
    <mergeCell ref="D212:F212"/>
    <mergeCell ref="G212:G213"/>
    <mergeCell ref="H212:K212"/>
    <mergeCell ref="L212:O212"/>
    <mergeCell ref="A238:O238"/>
    <mergeCell ref="A240:O240"/>
    <mergeCell ref="A186:O186"/>
    <mergeCell ref="A191:B191"/>
    <mergeCell ref="A192:O192"/>
    <mergeCell ref="A199:B199"/>
    <mergeCell ref="A200:O200"/>
    <mergeCell ref="A170:B170"/>
    <mergeCell ref="A171:O171"/>
    <mergeCell ref="A174:B174"/>
    <mergeCell ref="A176:B176"/>
    <mergeCell ref="A185:O185"/>
    <mergeCell ref="A178:O178"/>
    <mergeCell ref="A180:O180"/>
    <mergeCell ref="A229:B229"/>
    <mergeCell ref="A230:O230"/>
    <mergeCell ref="A234:B234"/>
    <mergeCell ref="A236:B236"/>
    <mergeCell ref="A203:B203"/>
    <mergeCell ref="A205:B205"/>
    <mergeCell ref="A214:O214"/>
    <mergeCell ref="A215:O215"/>
    <mergeCell ref="A221:B221"/>
    <mergeCell ref="A207:O207"/>
    <mergeCell ref="A134:O134"/>
    <mergeCell ref="A141:B141"/>
    <mergeCell ref="A142:O142"/>
    <mergeCell ref="A145:B145"/>
    <mergeCell ref="A154:A155"/>
    <mergeCell ref="B154:B155"/>
    <mergeCell ref="C154:C155"/>
    <mergeCell ref="D154:F154"/>
    <mergeCell ref="G154:G155"/>
    <mergeCell ref="H154:K154"/>
    <mergeCell ref="L154:O154"/>
    <mergeCell ref="A112:O112"/>
    <mergeCell ref="A115:B115"/>
    <mergeCell ref="A117:B117"/>
    <mergeCell ref="A126:O126"/>
    <mergeCell ref="A127:O127"/>
    <mergeCell ref="A119:O119"/>
    <mergeCell ref="A121:O121"/>
    <mergeCell ref="L3:O3"/>
    <mergeCell ref="A98:O98"/>
    <mergeCell ref="A103:B103"/>
    <mergeCell ref="A104:O104"/>
    <mergeCell ref="A111:B111"/>
    <mergeCell ref="G3:G4"/>
    <mergeCell ref="H3:K3"/>
    <mergeCell ref="A3:A4"/>
    <mergeCell ref="B3:B4"/>
    <mergeCell ref="C3:C4"/>
    <mergeCell ref="D3:F3"/>
    <mergeCell ref="A5:O5"/>
    <mergeCell ref="A6:O6"/>
    <mergeCell ref="A12:B12"/>
    <mergeCell ref="A13:O13"/>
    <mergeCell ref="A20:B20"/>
    <mergeCell ref="A21:O21"/>
    <mergeCell ref="A24:B24"/>
    <mergeCell ref="A26:B26"/>
    <mergeCell ref="A35:O35"/>
    <mergeCell ref="A36:O36"/>
    <mergeCell ref="A41:B41"/>
    <mergeCell ref="A42:O42"/>
    <mergeCell ref="A50:B50"/>
    <mergeCell ref="A51:O51"/>
    <mergeCell ref="A55:B55"/>
    <mergeCell ref="G33:G34"/>
    <mergeCell ref="H33:K33"/>
    <mergeCell ref="L33:O33"/>
    <mergeCell ref="A97:O97"/>
    <mergeCell ref="A90:O90"/>
    <mergeCell ref="A92:O92"/>
    <mergeCell ref="A57:B57"/>
    <mergeCell ref="A66:O66"/>
    <mergeCell ref="A67:O67"/>
    <mergeCell ref="A73:B73"/>
    <mergeCell ref="A74:O74"/>
    <mergeCell ref="A81:B81"/>
    <mergeCell ref="A82:O82"/>
    <mergeCell ref="A86:B86"/>
    <mergeCell ref="A88:B88"/>
    <mergeCell ref="A64:A65"/>
    <mergeCell ref="B64:B65"/>
    <mergeCell ref="C64:C65"/>
    <mergeCell ref="D64:F64"/>
    <mergeCell ref="G64:G65"/>
    <mergeCell ref="H64:K64"/>
    <mergeCell ref="L64:O64"/>
    <mergeCell ref="A95:A96"/>
    <mergeCell ref="B95:B96"/>
    <mergeCell ref="C95:C96"/>
    <mergeCell ref="D95:F95"/>
    <mergeCell ref="G95:G96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9" manualBreakCount="9">
    <brk id="31" max="16383" man="1"/>
    <brk id="62" max="16383" man="1"/>
    <brk id="93" max="15" man="1"/>
    <brk id="122" max="16383" man="1"/>
    <brk id="152" max="16383" man="1"/>
    <brk id="181" max="16383" man="1"/>
    <brk id="210" max="16383" man="1"/>
    <brk id="241" max="16383" man="1"/>
    <brk id="2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6"/>
  <sheetViews>
    <sheetView view="pageBreakPreview" zoomScale="70" zoomScaleNormal="100" zoomScaleSheetLayoutView="70" workbookViewId="0">
      <pane ySplit="7" topLeftCell="A391" activePane="bottomLeft" state="frozen"/>
      <selection pane="bottomLeft" activeCell="Y412" sqref="Y412"/>
    </sheetView>
  </sheetViews>
  <sheetFormatPr defaultRowHeight="15" x14ac:dyDescent="0.25"/>
  <cols>
    <col min="1" max="1" width="22.140625" customWidth="1"/>
    <col min="2" max="2" width="37.5703125" customWidth="1"/>
    <col min="3" max="3" width="13" customWidth="1"/>
    <col min="4" max="5" width="9.28515625" bestFit="1" customWidth="1"/>
    <col min="6" max="6" width="11.28515625" customWidth="1"/>
    <col min="7" max="7" width="14.5703125" customWidth="1"/>
    <col min="8" max="10" width="9.28515625" bestFit="1" customWidth="1"/>
    <col min="11" max="14" width="9.5703125" bestFit="1" customWidth="1"/>
    <col min="15" max="15" width="9.28515625" bestFit="1" customWidth="1"/>
  </cols>
  <sheetData>
    <row r="1" spans="1:16" x14ac:dyDescent="0.25">
      <c r="A1" s="156" t="s">
        <v>207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6" s="1" customForma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6" s="1" customForma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" customForma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6" s="1" customFormat="1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6" x14ac:dyDescent="0.25">
      <c r="A6" s="119" t="s">
        <v>0</v>
      </c>
      <c r="B6" s="121" t="s">
        <v>1</v>
      </c>
      <c r="C6" s="116" t="s">
        <v>2</v>
      </c>
      <c r="D6" s="123" t="s">
        <v>3</v>
      </c>
      <c r="E6" s="124"/>
      <c r="F6" s="125"/>
      <c r="G6" s="116" t="s">
        <v>4</v>
      </c>
      <c r="H6" s="118" t="s">
        <v>5</v>
      </c>
      <c r="I6" s="118"/>
      <c r="J6" s="118"/>
      <c r="K6" s="118"/>
      <c r="L6" s="113" t="s">
        <v>6</v>
      </c>
      <c r="M6" s="114"/>
      <c r="N6" s="114"/>
      <c r="O6" s="115"/>
    </row>
    <row r="7" spans="1:16" ht="37.5" customHeight="1" thickBot="1" x14ac:dyDescent="0.3">
      <c r="A7" s="120"/>
      <c r="B7" s="122"/>
      <c r="C7" s="117"/>
      <c r="D7" s="2" t="s">
        <v>7</v>
      </c>
      <c r="E7" s="2" t="s">
        <v>8</v>
      </c>
      <c r="F7" s="2" t="s">
        <v>9</v>
      </c>
      <c r="G7" s="117"/>
      <c r="H7" s="3" t="s">
        <v>10</v>
      </c>
      <c r="I7" s="3" t="s">
        <v>16</v>
      </c>
      <c r="J7" s="3" t="s">
        <v>11</v>
      </c>
      <c r="K7" s="3" t="s">
        <v>17</v>
      </c>
      <c r="L7" s="4" t="s">
        <v>12</v>
      </c>
      <c r="M7" s="3" t="s">
        <v>13</v>
      </c>
      <c r="N7" s="3" t="s">
        <v>14</v>
      </c>
      <c r="O7" s="5" t="s">
        <v>15</v>
      </c>
    </row>
    <row r="8" spans="1:16" ht="15.75" x14ac:dyDescent="0.25">
      <c r="A8" s="126" t="s">
        <v>18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8"/>
    </row>
    <row r="9" spans="1:16" ht="15.75" x14ac:dyDescent="0.25">
      <c r="A9" s="129" t="s">
        <v>47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1"/>
    </row>
    <row r="10" spans="1:16" ht="15.75" x14ac:dyDescent="0.25">
      <c r="A10" s="11" t="s">
        <v>167</v>
      </c>
      <c r="B10" s="12" t="s">
        <v>163</v>
      </c>
      <c r="C10" s="49">
        <v>100</v>
      </c>
      <c r="D10" s="13">
        <v>8.01</v>
      </c>
      <c r="E10" s="13">
        <v>15.4</v>
      </c>
      <c r="F10" s="13">
        <v>31.1</v>
      </c>
      <c r="G10" s="13">
        <f>4*(D10+F10)+(9*E10)</f>
        <v>295.03999999999996</v>
      </c>
      <c r="H10" s="13">
        <v>0.09</v>
      </c>
      <c r="I10" s="13">
        <v>0.24</v>
      </c>
      <c r="J10" s="13">
        <v>3</v>
      </c>
      <c r="K10" s="13">
        <v>157.30000000000001</v>
      </c>
      <c r="L10" s="13">
        <v>137.5</v>
      </c>
      <c r="M10" s="13">
        <v>31.4</v>
      </c>
      <c r="N10" s="13">
        <v>121.86</v>
      </c>
      <c r="O10" s="14">
        <v>2.73</v>
      </c>
      <c r="P10" s="6"/>
    </row>
    <row r="11" spans="1:16" ht="15.75" x14ac:dyDescent="0.25">
      <c r="A11" s="11" t="s">
        <v>113</v>
      </c>
      <c r="B11" s="12" t="s">
        <v>108</v>
      </c>
      <c r="C11" s="49">
        <v>180</v>
      </c>
      <c r="D11" s="13">
        <v>5.3</v>
      </c>
      <c r="E11" s="13">
        <v>7.2</v>
      </c>
      <c r="F11" s="13">
        <v>35.299999999999997</v>
      </c>
      <c r="G11" s="13">
        <f t="shared" ref="G11" si="0">4*(D11+F11)+(9*E11)</f>
        <v>227.2</v>
      </c>
      <c r="H11" s="13">
        <v>0</v>
      </c>
      <c r="I11" s="13">
        <v>1.7999999999999999E-2</v>
      </c>
      <c r="J11" s="13">
        <v>0</v>
      </c>
      <c r="K11" s="13">
        <v>15.7</v>
      </c>
      <c r="L11" s="13">
        <v>95.35</v>
      </c>
      <c r="M11" s="13">
        <v>9.6</v>
      </c>
      <c r="N11" s="13">
        <v>52.1</v>
      </c>
      <c r="O11" s="14">
        <v>0.56000000000000005</v>
      </c>
    </row>
    <row r="12" spans="1:16" ht="15.75" x14ac:dyDescent="0.25">
      <c r="A12" s="11"/>
      <c r="B12" s="12" t="s">
        <v>245</v>
      </c>
      <c r="C12" s="13">
        <v>30</v>
      </c>
      <c r="D12" s="58">
        <f>0.6*0.6</f>
        <v>0.36</v>
      </c>
      <c r="E12" s="58">
        <f>0.45*0.6</f>
        <v>0.27</v>
      </c>
      <c r="F12" s="58">
        <v>5.65</v>
      </c>
      <c r="G12" s="13">
        <f t="shared" ref="G12:G15" si="1">4*(D12+F12)+(9*E12)</f>
        <v>26.470000000000002</v>
      </c>
      <c r="H12" s="59">
        <v>0.01</v>
      </c>
      <c r="I12" s="59">
        <v>0.13500000000000001</v>
      </c>
      <c r="J12" s="59">
        <v>2.15</v>
      </c>
      <c r="K12" s="59">
        <v>61.1</v>
      </c>
      <c r="L12" s="59">
        <v>48.1</v>
      </c>
      <c r="M12" s="59">
        <v>17.8</v>
      </c>
      <c r="N12" s="59">
        <v>47.59</v>
      </c>
      <c r="O12" s="60">
        <v>0.87</v>
      </c>
    </row>
    <row r="13" spans="1:16" ht="15.75" x14ac:dyDescent="0.25">
      <c r="A13" s="11" t="s">
        <v>114</v>
      </c>
      <c r="B13" s="12" t="s">
        <v>111</v>
      </c>
      <c r="C13" s="13">
        <v>205</v>
      </c>
      <c r="D13" s="25">
        <v>7.0000000000000007E-2</v>
      </c>
      <c r="E13" s="25">
        <v>0.02</v>
      </c>
      <c r="F13" s="25">
        <v>16.89</v>
      </c>
      <c r="G13" s="13">
        <f t="shared" si="1"/>
        <v>68.02000000000001</v>
      </c>
      <c r="H13" s="25">
        <v>2.8000000000000001E-2</v>
      </c>
      <c r="I13" s="25">
        <v>0.04</v>
      </c>
      <c r="J13" s="25">
        <v>5</v>
      </c>
      <c r="K13" s="25">
        <v>0</v>
      </c>
      <c r="L13" s="25">
        <v>8.0500000000000007</v>
      </c>
      <c r="M13" s="25">
        <v>5.24</v>
      </c>
      <c r="N13" s="25">
        <v>9.7799999999999994</v>
      </c>
      <c r="O13" s="26">
        <v>0.19</v>
      </c>
    </row>
    <row r="14" spans="1:16" ht="15.75" x14ac:dyDescent="0.25">
      <c r="A14" s="11"/>
      <c r="B14" s="12" t="s">
        <v>86</v>
      </c>
      <c r="C14" s="13">
        <v>25</v>
      </c>
      <c r="D14" s="13">
        <v>1.6</v>
      </c>
      <c r="E14" s="13">
        <v>0.2</v>
      </c>
      <c r="F14" s="13">
        <v>10.4</v>
      </c>
      <c r="G14" s="13">
        <f t="shared" si="1"/>
        <v>49.8</v>
      </c>
      <c r="H14" s="13">
        <v>2.1999999999999999E-2</v>
      </c>
      <c r="I14" s="13">
        <v>0.01</v>
      </c>
      <c r="J14" s="13">
        <v>0</v>
      </c>
      <c r="K14" s="13">
        <v>0</v>
      </c>
      <c r="L14" s="13">
        <v>4.5999999999999996</v>
      </c>
      <c r="M14" s="13">
        <v>2.1</v>
      </c>
      <c r="N14" s="13">
        <v>21.2</v>
      </c>
      <c r="O14" s="14">
        <v>0.2</v>
      </c>
    </row>
    <row r="15" spans="1:16" ht="16.5" thickBot="1" x14ac:dyDescent="0.3">
      <c r="A15" s="23"/>
      <c r="B15" s="24" t="s">
        <v>92</v>
      </c>
      <c r="C15" s="25">
        <v>25</v>
      </c>
      <c r="D15" s="13">
        <v>1.3</v>
      </c>
      <c r="E15" s="13">
        <v>0.2</v>
      </c>
      <c r="F15" s="13">
        <v>8.1999999999999993</v>
      </c>
      <c r="G15" s="13">
        <f t="shared" si="1"/>
        <v>39.799999999999997</v>
      </c>
      <c r="H15" s="13">
        <v>2.1999999999999999E-2</v>
      </c>
      <c r="I15" s="13">
        <v>0.01</v>
      </c>
      <c r="J15" s="13">
        <v>0</v>
      </c>
      <c r="K15" s="13">
        <v>0</v>
      </c>
      <c r="L15" s="13">
        <v>5</v>
      </c>
      <c r="M15" s="13">
        <v>2.8</v>
      </c>
      <c r="N15" s="13">
        <v>13</v>
      </c>
      <c r="O15" s="14">
        <v>0.22</v>
      </c>
    </row>
    <row r="16" spans="1:16" ht="16.5" thickBot="1" x14ac:dyDescent="0.3">
      <c r="A16" s="90" t="s">
        <v>20</v>
      </c>
      <c r="B16" s="91"/>
      <c r="C16" s="9">
        <f>SUM(C10:C15)</f>
        <v>565</v>
      </c>
      <c r="D16" s="9">
        <f>SUM(D10:D15)</f>
        <v>16.639999999999997</v>
      </c>
      <c r="E16" s="9">
        <f t="shared" ref="E16:O16" si="2">SUM(E10:E15)</f>
        <v>23.29</v>
      </c>
      <c r="F16" s="61">
        <f t="shared" si="2"/>
        <v>107.54000000000002</v>
      </c>
      <c r="G16" s="9">
        <f>SUM(G10:G15)</f>
        <v>706.32999999999993</v>
      </c>
      <c r="H16" s="62">
        <f t="shared" si="2"/>
        <v>0.17199999999999999</v>
      </c>
      <c r="I16" s="9">
        <f t="shared" si="2"/>
        <v>0.45300000000000001</v>
      </c>
      <c r="J16" s="9">
        <f t="shared" si="2"/>
        <v>10.15</v>
      </c>
      <c r="K16" s="9">
        <f t="shared" si="2"/>
        <v>234.1</v>
      </c>
      <c r="L16" s="9">
        <f t="shared" si="2"/>
        <v>298.60000000000002</v>
      </c>
      <c r="M16" s="9">
        <f t="shared" si="2"/>
        <v>68.939999999999984</v>
      </c>
      <c r="N16" s="9">
        <f t="shared" si="2"/>
        <v>265.52999999999997</v>
      </c>
      <c r="O16" s="10">
        <f t="shared" si="2"/>
        <v>4.7700000000000005</v>
      </c>
    </row>
    <row r="17" spans="1:15" ht="15.75" x14ac:dyDescent="0.25">
      <c r="A17" s="92" t="s">
        <v>48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4"/>
    </row>
    <row r="18" spans="1:15" ht="15.75" x14ac:dyDescent="0.25">
      <c r="A18" s="11" t="s">
        <v>124</v>
      </c>
      <c r="B18" s="12" t="s">
        <v>264</v>
      </c>
      <c r="C18" s="13">
        <v>200</v>
      </c>
      <c r="D18" s="13">
        <v>9.0399999999999991</v>
      </c>
      <c r="E18" s="13">
        <v>7.89</v>
      </c>
      <c r="F18" s="13">
        <v>47.58</v>
      </c>
      <c r="G18" s="13">
        <f>4*(D18+F18)+(E18*9)</f>
        <v>297.49</v>
      </c>
      <c r="H18" s="13">
        <v>0.12</v>
      </c>
      <c r="I18" s="13">
        <v>0.28999999999999998</v>
      </c>
      <c r="J18" s="13">
        <v>8</v>
      </c>
      <c r="K18" s="13">
        <v>118</v>
      </c>
      <c r="L18" s="13">
        <v>37.299999999999997</v>
      </c>
      <c r="M18" s="13">
        <v>54.22</v>
      </c>
      <c r="N18" s="13">
        <v>87.54</v>
      </c>
      <c r="O18" s="14">
        <v>1.28</v>
      </c>
    </row>
    <row r="19" spans="1:15" ht="15.75" x14ac:dyDescent="0.25">
      <c r="A19" s="11"/>
      <c r="B19" s="12" t="s">
        <v>265</v>
      </c>
      <c r="C19" s="13">
        <v>50</v>
      </c>
      <c r="D19" s="13">
        <v>0</v>
      </c>
      <c r="E19" s="13">
        <v>0</v>
      </c>
      <c r="F19" s="13">
        <v>9</v>
      </c>
      <c r="G19" s="13">
        <f t="shared" ref="G19:G21" si="3">4*(D19+F19)+(9*E19)</f>
        <v>36</v>
      </c>
      <c r="H19" s="13">
        <v>2.1999999999999999E-2</v>
      </c>
      <c r="I19" s="13">
        <v>0.01</v>
      </c>
      <c r="J19" s="13">
        <v>0</v>
      </c>
      <c r="K19" s="13">
        <v>0</v>
      </c>
      <c r="L19" s="13">
        <v>90.5</v>
      </c>
      <c r="M19" s="13">
        <v>2.8</v>
      </c>
      <c r="N19" s="13">
        <v>13</v>
      </c>
      <c r="O19" s="14">
        <v>0.55000000000000004</v>
      </c>
    </row>
    <row r="20" spans="1:15" ht="15.75" x14ac:dyDescent="0.25">
      <c r="A20" s="11" t="s">
        <v>114</v>
      </c>
      <c r="B20" s="12" t="s">
        <v>111</v>
      </c>
      <c r="C20" s="13">
        <v>205</v>
      </c>
      <c r="D20" s="25">
        <v>7.0000000000000007E-2</v>
      </c>
      <c r="E20" s="25">
        <v>0.02</v>
      </c>
      <c r="F20" s="25">
        <v>16.89</v>
      </c>
      <c r="G20" s="13">
        <f t="shared" si="3"/>
        <v>68.02000000000001</v>
      </c>
      <c r="H20" s="25">
        <v>2.8000000000000001E-2</v>
      </c>
      <c r="I20" s="25">
        <v>0.04</v>
      </c>
      <c r="J20" s="25">
        <v>5</v>
      </c>
      <c r="K20" s="25">
        <v>0</v>
      </c>
      <c r="L20" s="25">
        <v>8.0500000000000007</v>
      </c>
      <c r="M20" s="25">
        <v>5.24</v>
      </c>
      <c r="N20" s="25">
        <v>9.7799999999999994</v>
      </c>
      <c r="O20" s="26">
        <v>0.19</v>
      </c>
    </row>
    <row r="21" spans="1:15" s="1" customFormat="1" ht="15.75" x14ac:dyDescent="0.25">
      <c r="A21" s="11" t="s">
        <v>172</v>
      </c>
      <c r="B21" s="12" t="s">
        <v>266</v>
      </c>
      <c r="C21" s="13">
        <v>65</v>
      </c>
      <c r="D21" s="63">
        <v>13.2</v>
      </c>
      <c r="E21" s="63">
        <f>26.96*0.5</f>
        <v>13.48</v>
      </c>
      <c r="F21" s="63">
        <v>31.675000000000001</v>
      </c>
      <c r="G21" s="64">
        <f t="shared" si="3"/>
        <v>300.82</v>
      </c>
      <c r="H21" s="65">
        <v>5.1999999999999998E-2</v>
      </c>
      <c r="I21" s="65">
        <v>0.1</v>
      </c>
      <c r="J21" s="65">
        <v>0</v>
      </c>
      <c r="K21" s="65">
        <v>80</v>
      </c>
      <c r="L21" s="65">
        <v>49</v>
      </c>
      <c r="M21" s="65">
        <v>13</v>
      </c>
      <c r="N21" s="65">
        <v>133</v>
      </c>
      <c r="O21" s="66">
        <v>1</v>
      </c>
    </row>
    <row r="22" spans="1:15" ht="16.5" thickBot="1" x14ac:dyDescent="0.3">
      <c r="A22" s="11"/>
      <c r="B22" s="12" t="s">
        <v>86</v>
      </c>
      <c r="C22" s="13">
        <v>25</v>
      </c>
      <c r="D22" s="13">
        <v>1.6</v>
      </c>
      <c r="E22" s="13">
        <v>0.2</v>
      </c>
      <c r="F22" s="13">
        <v>10.4</v>
      </c>
      <c r="G22" s="13">
        <f>4*(D22+F22)+(E22*9)</f>
        <v>49.8</v>
      </c>
      <c r="H22" s="13">
        <v>2.1999999999999999E-2</v>
      </c>
      <c r="I22" s="13">
        <v>0.01</v>
      </c>
      <c r="J22" s="13">
        <v>0</v>
      </c>
      <c r="K22" s="13">
        <v>0</v>
      </c>
      <c r="L22" s="13">
        <v>4.5999999999999996</v>
      </c>
      <c r="M22" s="13">
        <v>2.1</v>
      </c>
      <c r="N22" s="13">
        <v>21.2</v>
      </c>
      <c r="O22" s="14">
        <v>0.2</v>
      </c>
    </row>
    <row r="23" spans="1:15" ht="16.5" thickBot="1" x14ac:dyDescent="0.3">
      <c r="A23" s="90" t="s">
        <v>20</v>
      </c>
      <c r="B23" s="91"/>
      <c r="C23" s="9">
        <f t="shared" ref="C23:O23" si="4">SUM(C18:C22)</f>
        <v>545</v>
      </c>
      <c r="D23" s="9">
        <f t="shared" si="4"/>
        <v>23.91</v>
      </c>
      <c r="E23" s="9">
        <f t="shared" si="4"/>
        <v>21.59</v>
      </c>
      <c r="F23" s="9">
        <f t="shared" si="4"/>
        <v>115.545</v>
      </c>
      <c r="G23" s="9">
        <f t="shared" si="4"/>
        <v>752.12999999999988</v>
      </c>
      <c r="H23" s="9">
        <f t="shared" si="4"/>
        <v>0.24399999999999997</v>
      </c>
      <c r="I23" s="9">
        <f t="shared" si="4"/>
        <v>0.44999999999999996</v>
      </c>
      <c r="J23" s="9">
        <f t="shared" si="4"/>
        <v>13</v>
      </c>
      <c r="K23" s="9">
        <f t="shared" si="4"/>
        <v>198</v>
      </c>
      <c r="L23" s="9">
        <f t="shared" si="4"/>
        <v>189.45</v>
      </c>
      <c r="M23" s="9">
        <f t="shared" si="4"/>
        <v>77.359999999999985</v>
      </c>
      <c r="N23" s="9">
        <f t="shared" si="4"/>
        <v>264.52</v>
      </c>
      <c r="O23" s="10">
        <f t="shared" si="4"/>
        <v>3.22</v>
      </c>
    </row>
    <row r="24" spans="1:15" ht="15.75" x14ac:dyDescent="0.25">
      <c r="A24" s="92" t="s">
        <v>21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</row>
    <row r="25" spans="1:15" ht="15.75" x14ac:dyDescent="0.25">
      <c r="A25" s="11" t="s">
        <v>96</v>
      </c>
      <c r="B25" s="12" t="s">
        <v>90</v>
      </c>
      <c r="C25" s="13">
        <v>250</v>
      </c>
      <c r="D25" s="13">
        <v>12.5</v>
      </c>
      <c r="E25" s="13">
        <v>11.72</v>
      </c>
      <c r="F25" s="13">
        <v>21.05</v>
      </c>
      <c r="G25" s="13">
        <f>4*(D25+F25)+(9*E25)</f>
        <v>239.68</v>
      </c>
      <c r="H25" s="13">
        <v>0.27</v>
      </c>
      <c r="I25" s="13">
        <v>0.27</v>
      </c>
      <c r="J25" s="13">
        <v>7.9</v>
      </c>
      <c r="K25" s="13">
        <v>157</v>
      </c>
      <c r="L25" s="13">
        <v>99.25</v>
      </c>
      <c r="M25" s="13">
        <v>39.1</v>
      </c>
      <c r="N25" s="13">
        <v>186.5</v>
      </c>
      <c r="O25" s="14">
        <v>1.0840000000000001</v>
      </c>
    </row>
    <row r="26" spans="1:15" ht="15.75" x14ac:dyDescent="0.25">
      <c r="A26" s="15" t="s">
        <v>211</v>
      </c>
      <c r="B26" s="16" t="s">
        <v>213</v>
      </c>
      <c r="C26" s="17">
        <v>100</v>
      </c>
      <c r="D26" s="17">
        <v>19.329999999999998</v>
      </c>
      <c r="E26" s="17">
        <v>11.78</v>
      </c>
      <c r="F26" s="17">
        <v>29.15</v>
      </c>
      <c r="G26" s="17">
        <f>4*(D26+F26)+(9*E26)</f>
        <v>299.94</v>
      </c>
      <c r="H26" s="17">
        <v>0.32</v>
      </c>
      <c r="I26" s="17">
        <v>8.5000000000000006E-2</v>
      </c>
      <c r="J26" s="17">
        <v>2.5099999999999998</v>
      </c>
      <c r="K26" s="17">
        <v>132</v>
      </c>
      <c r="L26" s="17">
        <v>146.80000000000001</v>
      </c>
      <c r="M26" s="17">
        <v>36.9</v>
      </c>
      <c r="N26" s="17">
        <v>128.6</v>
      </c>
      <c r="O26" s="18">
        <v>1.87</v>
      </c>
    </row>
    <row r="27" spans="1:15" ht="15.75" x14ac:dyDescent="0.25">
      <c r="A27" s="19" t="s">
        <v>229</v>
      </c>
      <c r="B27" s="20" t="s">
        <v>212</v>
      </c>
      <c r="C27" s="21">
        <v>180</v>
      </c>
      <c r="D27" s="21">
        <v>3.47</v>
      </c>
      <c r="E27" s="21">
        <v>9.06</v>
      </c>
      <c r="F27" s="21">
        <v>21.8</v>
      </c>
      <c r="G27" s="21">
        <f t="shared" ref="G27:G30" si="5">4*(D27+F27)+(9*E27)</f>
        <v>182.62</v>
      </c>
      <c r="H27" s="21">
        <v>0.02</v>
      </c>
      <c r="I27" s="21">
        <v>0.08</v>
      </c>
      <c r="J27" s="21">
        <v>14.32</v>
      </c>
      <c r="K27" s="21">
        <v>18</v>
      </c>
      <c r="L27" s="21">
        <v>86.92</v>
      </c>
      <c r="M27" s="21">
        <v>25.76</v>
      </c>
      <c r="N27" s="21">
        <v>97.36</v>
      </c>
      <c r="O27" s="22">
        <v>2.4300000000000002</v>
      </c>
    </row>
    <row r="28" spans="1:15" ht="15.75" x14ac:dyDescent="0.25">
      <c r="A28" s="11" t="s">
        <v>95</v>
      </c>
      <c r="B28" s="12" t="s">
        <v>91</v>
      </c>
      <c r="C28" s="13">
        <v>180</v>
      </c>
      <c r="D28" s="13">
        <v>0.4</v>
      </c>
      <c r="E28" s="13">
        <v>0.02</v>
      </c>
      <c r="F28" s="13">
        <v>19.73</v>
      </c>
      <c r="G28" s="13">
        <f t="shared" si="5"/>
        <v>80.7</v>
      </c>
      <c r="H28" s="13">
        <v>2E-3</v>
      </c>
      <c r="I28" s="13">
        <v>0.05</v>
      </c>
      <c r="J28" s="13">
        <v>7.6</v>
      </c>
      <c r="K28" s="13">
        <v>0</v>
      </c>
      <c r="L28" s="13">
        <v>73.87</v>
      </c>
      <c r="M28" s="13">
        <v>2.5</v>
      </c>
      <c r="N28" s="13">
        <v>21.55</v>
      </c>
      <c r="O28" s="14">
        <v>0.3</v>
      </c>
    </row>
    <row r="29" spans="1:15" ht="15.75" x14ac:dyDescent="0.25">
      <c r="A29" s="11"/>
      <c r="B29" s="12" t="s">
        <v>86</v>
      </c>
      <c r="C29" s="13">
        <v>25</v>
      </c>
      <c r="D29" s="13">
        <v>1.6</v>
      </c>
      <c r="E29" s="13">
        <v>0.2</v>
      </c>
      <c r="F29" s="13">
        <v>10.4</v>
      </c>
      <c r="G29" s="13">
        <f>4*(D29+F29)+(E29*9)</f>
        <v>49.8</v>
      </c>
      <c r="H29" s="13">
        <v>2.1999999999999999E-2</v>
      </c>
      <c r="I29" s="13">
        <v>0.01</v>
      </c>
      <c r="J29" s="13">
        <v>0</v>
      </c>
      <c r="K29" s="13">
        <v>0</v>
      </c>
      <c r="L29" s="13">
        <v>4.5999999999999996</v>
      </c>
      <c r="M29" s="13">
        <v>2.1</v>
      </c>
      <c r="N29" s="13">
        <v>21.2</v>
      </c>
      <c r="O29" s="14">
        <v>0.2</v>
      </c>
    </row>
    <row r="30" spans="1:15" ht="16.5" thickBot="1" x14ac:dyDescent="0.3">
      <c r="A30" s="11"/>
      <c r="B30" s="12" t="s">
        <v>92</v>
      </c>
      <c r="C30" s="13">
        <v>50</v>
      </c>
      <c r="D30" s="13">
        <v>2.6</v>
      </c>
      <c r="E30" s="13">
        <v>0.4</v>
      </c>
      <c r="F30" s="13">
        <v>16.399999999999999</v>
      </c>
      <c r="G30" s="13">
        <f t="shared" si="5"/>
        <v>79.599999999999994</v>
      </c>
      <c r="H30" s="13">
        <v>4.3999999999999997E-2</v>
      </c>
      <c r="I30" s="13">
        <v>0.02</v>
      </c>
      <c r="J30" s="13">
        <v>0</v>
      </c>
      <c r="K30" s="13">
        <v>0</v>
      </c>
      <c r="L30" s="13">
        <v>10</v>
      </c>
      <c r="M30" s="13">
        <v>5.6</v>
      </c>
      <c r="N30" s="13" t="s">
        <v>246</v>
      </c>
      <c r="O30" s="14">
        <v>0.22</v>
      </c>
    </row>
    <row r="31" spans="1:15" ht="16.5" thickBot="1" x14ac:dyDescent="0.3">
      <c r="A31" s="90" t="s">
        <v>20</v>
      </c>
      <c r="B31" s="91"/>
      <c r="C31" s="9">
        <f>SUM(C25:C30)</f>
        <v>785</v>
      </c>
      <c r="D31" s="9">
        <f t="shared" ref="D31:O31" si="6">SUM(D25:D30)</f>
        <v>39.9</v>
      </c>
      <c r="E31" s="9">
        <f t="shared" si="6"/>
        <v>33.180000000000007</v>
      </c>
      <c r="F31" s="9">
        <f t="shared" si="6"/>
        <v>118.53</v>
      </c>
      <c r="G31" s="9">
        <f t="shared" si="6"/>
        <v>932.34</v>
      </c>
      <c r="H31" s="9">
        <f t="shared" si="6"/>
        <v>0.67800000000000016</v>
      </c>
      <c r="I31" s="9">
        <f t="shared" si="6"/>
        <v>0.51500000000000001</v>
      </c>
      <c r="J31" s="9">
        <f t="shared" si="6"/>
        <v>32.33</v>
      </c>
      <c r="K31" s="9">
        <f t="shared" si="6"/>
        <v>307</v>
      </c>
      <c r="L31" s="9">
        <f t="shared" si="6"/>
        <v>421.44000000000005</v>
      </c>
      <c r="M31" s="9">
        <f t="shared" si="6"/>
        <v>111.96</v>
      </c>
      <c r="N31" s="9">
        <f t="shared" si="6"/>
        <v>455.21000000000004</v>
      </c>
      <c r="O31" s="10">
        <f t="shared" si="6"/>
        <v>6.1040000000000001</v>
      </c>
    </row>
    <row r="32" spans="1:15" ht="16.5" thickBot="1" x14ac:dyDescent="0.3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0"/>
    </row>
    <row r="33" spans="1:15" ht="15.75" x14ac:dyDescent="0.25">
      <c r="A33" s="144" t="s">
        <v>49</v>
      </c>
      <c r="B33" s="145"/>
      <c r="C33" s="67">
        <f t="shared" ref="C33:O33" si="7">C16+C31</f>
        <v>1350</v>
      </c>
      <c r="D33" s="68">
        <f t="shared" si="7"/>
        <v>56.539999999999992</v>
      </c>
      <c r="E33" s="68">
        <f t="shared" si="7"/>
        <v>56.470000000000006</v>
      </c>
      <c r="F33" s="68">
        <f t="shared" si="7"/>
        <v>226.07000000000002</v>
      </c>
      <c r="G33" s="68">
        <f t="shared" si="7"/>
        <v>1638.67</v>
      </c>
      <c r="H33" s="67">
        <f t="shared" si="7"/>
        <v>0.85000000000000009</v>
      </c>
      <c r="I33" s="67">
        <f t="shared" si="7"/>
        <v>0.96799999999999997</v>
      </c>
      <c r="J33" s="67">
        <f t="shared" si="7"/>
        <v>42.48</v>
      </c>
      <c r="K33" s="67">
        <f t="shared" si="7"/>
        <v>541.1</v>
      </c>
      <c r="L33" s="67">
        <f t="shared" si="7"/>
        <v>720.04000000000008</v>
      </c>
      <c r="M33" s="67">
        <f t="shared" si="7"/>
        <v>180.89999999999998</v>
      </c>
      <c r="N33" s="67">
        <f t="shared" si="7"/>
        <v>720.74</v>
      </c>
      <c r="O33" s="69">
        <f t="shared" si="7"/>
        <v>10.874000000000001</v>
      </c>
    </row>
    <row r="34" spans="1:15" ht="16.5" thickBot="1" x14ac:dyDescent="0.3">
      <c r="A34" s="146" t="s">
        <v>50</v>
      </c>
      <c r="B34" s="147"/>
      <c r="C34" s="70">
        <f t="shared" ref="C34:O34" si="8">C23+C31</f>
        <v>1330</v>
      </c>
      <c r="D34" s="71">
        <f t="shared" si="8"/>
        <v>63.81</v>
      </c>
      <c r="E34" s="71">
        <f t="shared" si="8"/>
        <v>54.77000000000001</v>
      </c>
      <c r="F34" s="71">
        <f t="shared" si="8"/>
        <v>234.07499999999999</v>
      </c>
      <c r="G34" s="71">
        <f t="shared" si="8"/>
        <v>1684.4699999999998</v>
      </c>
      <c r="H34" s="70">
        <f t="shared" si="8"/>
        <v>0.92200000000000015</v>
      </c>
      <c r="I34" s="70">
        <f t="shared" si="8"/>
        <v>0.96499999999999997</v>
      </c>
      <c r="J34" s="70">
        <f t="shared" si="8"/>
        <v>45.33</v>
      </c>
      <c r="K34" s="70">
        <f t="shared" si="8"/>
        <v>505</v>
      </c>
      <c r="L34" s="70">
        <f t="shared" si="8"/>
        <v>610.8900000000001</v>
      </c>
      <c r="M34" s="70">
        <f t="shared" si="8"/>
        <v>189.32</v>
      </c>
      <c r="N34" s="70">
        <f t="shared" si="8"/>
        <v>719.73</v>
      </c>
      <c r="O34" s="72">
        <f t="shared" si="8"/>
        <v>9.3239999999999998</v>
      </c>
    </row>
    <row r="35" spans="1:15" s="1" customFormat="1" ht="15.75" x14ac:dyDescent="0.25">
      <c r="A35" s="32"/>
      <c r="B35" s="32"/>
      <c r="C35" s="34"/>
      <c r="D35" s="33"/>
      <c r="E35" s="33"/>
      <c r="F35" s="33"/>
      <c r="G35" s="33"/>
      <c r="H35" s="34"/>
      <c r="I35" s="34"/>
      <c r="J35" s="34"/>
      <c r="K35" s="34"/>
      <c r="L35" s="34"/>
      <c r="M35" s="34"/>
      <c r="N35" s="34"/>
      <c r="O35" s="34"/>
    </row>
    <row r="36" spans="1:15" s="1" customFormat="1" ht="15.75" x14ac:dyDescent="0.25">
      <c r="A36" s="32"/>
      <c r="B36" s="32"/>
      <c r="C36" s="34"/>
      <c r="D36" s="33"/>
      <c r="E36" s="33"/>
      <c r="F36" s="33"/>
      <c r="G36" s="33"/>
      <c r="H36" s="34"/>
      <c r="I36" s="34"/>
      <c r="J36" s="34"/>
      <c r="K36" s="34"/>
      <c r="L36" s="34"/>
      <c r="M36" s="34"/>
      <c r="N36" s="34"/>
      <c r="O36" s="34"/>
    </row>
    <row r="37" spans="1:15" s="1" customFormat="1" ht="15.75" x14ac:dyDescent="0.25">
      <c r="A37" s="32"/>
      <c r="B37" s="32"/>
      <c r="C37" s="34"/>
      <c r="D37" s="33"/>
      <c r="E37" s="33"/>
      <c r="F37" s="33"/>
      <c r="G37" s="33"/>
      <c r="H37" s="34"/>
      <c r="I37" s="34"/>
      <c r="J37" s="34"/>
      <c r="K37" s="34"/>
      <c r="L37" s="34"/>
      <c r="M37" s="34"/>
      <c r="N37" s="34"/>
      <c r="O37" s="34"/>
    </row>
    <row r="38" spans="1:15" s="1" customFormat="1" x14ac:dyDescent="0.25">
      <c r="A38" s="87" t="s">
        <v>210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</row>
    <row r="39" spans="1:15" s="1" customFormat="1" ht="15.75" x14ac:dyDescent="0.25">
      <c r="A39" s="32"/>
      <c r="B39" s="32"/>
      <c r="C39" s="34"/>
      <c r="D39" s="33"/>
      <c r="E39" s="33"/>
      <c r="F39" s="33"/>
      <c r="G39" s="33"/>
      <c r="H39" s="34"/>
      <c r="I39" s="34"/>
      <c r="J39" s="34"/>
      <c r="K39" s="34"/>
      <c r="L39" s="34"/>
      <c r="M39" s="34"/>
      <c r="N39" s="34"/>
      <c r="O39" s="34"/>
    </row>
    <row r="40" spans="1:15" s="1" customFormat="1" ht="15.75" x14ac:dyDescent="0.25">
      <c r="A40" s="151" t="s">
        <v>207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</row>
    <row r="41" spans="1:15" s="1" customFormat="1" ht="15.75" x14ac:dyDescent="0.25">
      <c r="A41" s="32"/>
      <c r="B41" s="32"/>
      <c r="C41" s="34"/>
      <c r="D41" s="33"/>
      <c r="E41" s="33"/>
      <c r="F41" s="33"/>
      <c r="G41" s="33"/>
      <c r="H41" s="34"/>
      <c r="I41" s="34"/>
      <c r="J41" s="34"/>
      <c r="K41" s="34"/>
      <c r="L41" s="34"/>
      <c r="M41" s="34"/>
      <c r="N41" s="34"/>
      <c r="O41" s="34"/>
    </row>
    <row r="42" spans="1:15" s="1" customFormat="1" ht="16.5" thickBot="1" x14ac:dyDescent="0.3">
      <c r="A42" s="32"/>
      <c r="B42" s="32"/>
      <c r="C42" s="34"/>
      <c r="D42" s="33"/>
      <c r="E42" s="33"/>
      <c r="F42" s="33"/>
      <c r="G42" s="33"/>
      <c r="H42" s="34"/>
      <c r="I42" s="34"/>
      <c r="J42" s="34"/>
      <c r="K42" s="34"/>
      <c r="L42" s="34"/>
      <c r="M42" s="34"/>
      <c r="N42" s="34"/>
      <c r="O42" s="34"/>
    </row>
    <row r="43" spans="1:15" s="1" customFormat="1" x14ac:dyDescent="0.25">
      <c r="A43" s="98" t="s">
        <v>0</v>
      </c>
      <c r="B43" s="100" t="s">
        <v>1</v>
      </c>
      <c r="C43" s="102" t="s">
        <v>2</v>
      </c>
      <c r="D43" s="104" t="s">
        <v>3</v>
      </c>
      <c r="E43" s="105"/>
      <c r="F43" s="106"/>
      <c r="G43" s="102" t="s">
        <v>4</v>
      </c>
      <c r="H43" s="107" t="s">
        <v>5</v>
      </c>
      <c r="I43" s="107"/>
      <c r="J43" s="107"/>
      <c r="K43" s="107"/>
      <c r="L43" s="108" t="s">
        <v>6</v>
      </c>
      <c r="M43" s="109"/>
      <c r="N43" s="109"/>
      <c r="O43" s="110"/>
    </row>
    <row r="44" spans="1:15" ht="43.5" customHeight="1" thickBot="1" x14ac:dyDescent="0.3">
      <c r="A44" s="99"/>
      <c r="B44" s="101"/>
      <c r="C44" s="103"/>
      <c r="D44" s="35" t="s">
        <v>7</v>
      </c>
      <c r="E44" s="35" t="s">
        <v>8</v>
      </c>
      <c r="F44" s="35" t="s">
        <v>9</v>
      </c>
      <c r="G44" s="103"/>
      <c r="H44" s="36" t="s">
        <v>10</v>
      </c>
      <c r="I44" s="36" t="s">
        <v>16</v>
      </c>
      <c r="J44" s="36" t="s">
        <v>11</v>
      </c>
      <c r="K44" s="36" t="s">
        <v>17</v>
      </c>
      <c r="L44" s="37" t="s">
        <v>12</v>
      </c>
      <c r="M44" s="36" t="s">
        <v>13</v>
      </c>
      <c r="N44" s="36" t="s">
        <v>14</v>
      </c>
      <c r="O44" s="38" t="s">
        <v>15</v>
      </c>
    </row>
    <row r="45" spans="1:15" ht="15.75" x14ac:dyDescent="0.25">
      <c r="A45" s="84" t="s">
        <v>24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1:15" ht="15.75" x14ac:dyDescent="0.25">
      <c r="A46" s="92" t="s">
        <v>47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4"/>
    </row>
    <row r="47" spans="1:15" ht="31.5" x14ac:dyDescent="0.25">
      <c r="A47" s="39" t="s">
        <v>175</v>
      </c>
      <c r="B47" s="46" t="s">
        <v>168</v>
      </c>
      <c r="C47" s="50">
        <v>100</v>
      </c>
      <c r="D47" s="73">
        <v>16.3</v>
      </c>
      <c r="E47" s="73">
        <v>7.3</v>
      </c>
      <c r="F47" s="73">
        <v>8</v>
      </c>
      <c r="G47" s="73">
        <f>(F47+D47)*4+(E47*9)</f>
        <v>162.9</v>
      </c>
      <c r="H47" s="59">
        <v>7.4999999999999997E-2</v>
      </c>
      <c r="I47" s="59">
        <v>0.25</v>
      </c>
      <c r="J47" s="59">
        <v>4.9000000000000004</v>
      </c>
      <c r="K47" s="59">
        <v>108.4</v>
      </c>
      <c r="L47" s="59">
        <v>141.1</v>
      </c>
      <c r="M47" s="59">
        <v>28</v>
      </c>
      <c r="N47" s="59">
        <v>113</v>
      </c>
      <c r="O47" s="60">
        <v>2.15</v>
      </c>
    </row>
    <row r="48" spans="1:15" ht="31.5" x14ac:dyDescent="0.25">
      <c r="A48" s="39" t="s">
        <v>136</v>
      </c>
      <c r="B48" s="46" t="s">
        <v>224</v>
      </c>
      <c r="C48" s="50">
        <v>180</v>
      </c>
      <c r="D48" s="41">
        <v>7.66</v>
      </c>
      <c r="E48" s="41">
        <v>5.68</v>
      </c>
      <c r="F48" s="41">
        <v>31.89</v>
      </c>
      <c r="G48" s="73">
        <f t="shared" ref="G48:G51" si="9">(F48+D48)*4+(E48*9)</f>
        <v>209.32</v>
      </c>
      <c r="H48" s="41">
        <v>3.2000000000000001E-2</v>
      </c>
      <c r="I48" s="41">
        <v>0.38</v>
      </c>
      <c r="J48" s="41">
        <v>10.95</v>
      </c>
      <c r="K48" s="41">
        <v>80.8</v>
      </c>
      <c r="L48" s="41">
        <v>121.97</v>
      </c>
      <c r="M48" s="41">
        <v>36.82</v>
      </c>
      <c r="N48" s="41">
        <v>109.03</v>
      </c>
      <c r="O48" s="42">
        <v>1.98</v>
      </c>
    </row>
    <row r="49" spans="1:15" ht="15.75" x14ac:dyDescent="0.25">
      <c r="A49" s="11" t="s">
        <v>127</v>
      </c>
      <c r="B49" s="12" t="s">
        <v>169</v>
      </c>
      <c r="C49" s="13">
        <v>200</v>
      </c>
      <c r="D49" s="25">
        <v>0.2</v>
      </c>
      <c r="E49" s="25">
        <v>0</v>
      </c>
      <c r="F49" s="25">
        <v>17.48</v>
      </c>
      <c r="G49" s="73">
        <f t="shared" si="9"/>
        <v>70.72</v>
      </c>
      <c r="H49" s="25">
        <v>0.28000000000000003</v>
      </c>
      <c r="I49" s="25">
        <v>0.04</v>
      </c>
      <c r="J49" s="25">
        <v>6</v>
      </c>
      <c r="K49" s="25">
        <v>0</v>
      </c>
      <c r="L49" s="25">
        <v>8.0500000000000007</v>
      </c>
      <c r="M49" s="25">
        <v>3.24</v>
      </c>
      <c r="N49" s="25">
        <v>9.7799999999999994</v>
      </c>
      <c r="O49" s="26">
        <v>0.19</v>
      </c>
    </row>
    <row r="50" spans="1:15" ht="15.75" x14ac:dyDescent="0.25">
      <c r="A50" s="11" t="s">
        <v>172</v>
      </c>
      <c r="B50" s="12" t="s">
        <v>119</v>
      </c>
      <c r="C50" s="13">
        <v>45</v>
      </c>
      <c r="D50" s="13">
        <v>5.0199999999999996</v>
      </c>
      <c r="E50" s="13">
        <v>12.28</v>
      </c>
      <c r="F50" s="13">
        <v>29.41</v>
      </c>
      <c r="G50" s="73">
        <f t="shared" si="9"/>
        <v>248.24</v>
      </c>
      <c r="H50" s="13">
        <v>0.03</v>
      </c>
      <c r="I50" s="13">
        <v>0.01</v>
      </c>
      <c r="J50" s="13">
        <v>3</v>
      </c>
      <c r="K50" s="13">
        <v>35.1</v>
      </c>
      <c r="L50" s="13">
        <v>47.4</v>
      </c>
      <c r="M50" s="13">
        <v>6</v>
      </c>
      <c r="N50" s="13">
        <v>98.7</v>
      </c>
      <c r="O50" s="14">
        <v>0.5</v>
      </c>
    </row>
    <row r="51" spans="1:15" ht="16.5" thickBot="1" x14ac:dyDescent="0.3">
      <c r="A51" s="23"/>
      <c r="B51" s="24" t="s">
        <v>92</v>
      </c>
      <c r="C51" s="25">
        <v>25</v>
      </c>
      <c r="D51" s="13">
        <v>1.3</v>
      </c>
      <c r="E51" s="13">
        <v>0.2</v>
      </c>
      <c r="F51" s="13">
        <v>8.1999999999999993</v>
      </c>
      <c r="G51" s="73">
        <f t="shared" si="9"/>
        <v>39.799999999999997</v>
      </c>
      <c r="H51" s="13">
        <v>2.1999999999999999E-2</v>
      </c>
      <c r="I51" s="13">
        <v>0.01</v>
      </c>
      <c r="J51" s="13">
        <v>0</v>
      </c>
      <c r="K51" s="13">
        <v>0</v>
      </c>
      <c r="L51" s="13">
        <v>5</v>
      </c>
      <c r="M51" s="13">
        <v>2.8</v>
      </c>
      <c r="N51" s="13">
        <v>13</v>
      </c>
      <c r="O51" s="14">
        <v>0.22</v>
      </c>
    </row>
    <row r="52" spans="1:15" ht="16.5" thickBot="1" x14ac:dyDescent="0.3">
      <c r="A52" s="90" t="s">
        <v>20</v>
      </c>
      <c r="B52" s="91"/>
      <c r="C52" s="9">
        <f t="shared" ref="C52:O52" si="10">SUM(C47:C51)</f>
        <v>550</v>
      </c>
      <c r="D52" s="9">
        <f t="shared" si="10"/>
        <v>30.48</v>
      </c>
      <c r="E52" s="9">
        <f t="shared" si="10"/>
        <v>25.459999999999997</v>
      </c>
      <c r="F52" s="61">
        <f t="shared" si="10"/>
        <v>94.98</v>
      </c>
      <c r="G52" s="9">
        <f t="shared" si="10"/>
        <v>730.98</v>
      </c>
      <c r="H52" s="62">
        <f t="shared" si="10"/>
        <v>0.43900000000000006</v>
      </c>
      <c r="I52" s="9">
        <f t="shared" si="10"/>
        <v>0.69000000000000006</v>
      </c>
      <c r="J52" s="9">
        <f t="shared" si="10"/>
        <v>24.85</v>
      </c>
      <c r="K52" s="9">
        <f t="shared" si="10"/>
        <v>224.29999999999998</v>
      </c>
      <c r="L52" s="9">
        <f t="shared" si="10"/>
        <v>323.52</v>
      </c>
      <c r="M52" s="9">
        <f t="shared" si="10"/>
        <v>76.859999999999985</v>
      </c>
      <c r="N52" s="9">
        <f t="shared" si="10"/>
        <v>343.51</v>
      </c>
      <c r="O52" s="10">
        <f t="shared" si="10"/>
        <v>5.04</v>
      </c>
    </row>
    <row r="53" spans="1:15" ht="15.75" x14ac:dyDescent="0.25">
      <c r="A53" s="92" t="s">
        <v>48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4"/>
    </row>
    <row r="54" spans="1:15" ht="15.75" x14ac:dyDescent="0.25">
      <c r="A54" s="11" t="s">
        <v>174</v>
      </c>
      <c r="B54" s="12" t="s">
        <v>171</v>
      </c>
      <c r="C54" s="49">
        <v>100</v>
      </c>
      <c r="D54" s="74">
        <f>18.41*0.45</f>
        <v>8.2844999999999995</v>
      </c>
      <c r="E54" s="64">
        <f>14.89*0.45</f>
        <v>6.7005000000000008</v>
      </c>
      <c r="F54" s="64">
        <f>12.09*0.45</f>
        <v>5.4405000000000001</v>
      </c>
      <c r="G54" s="64">
        <f>4*(D54+F54)+(9*E54)</f>
        <v>115.2045</v>
      </c>
      <c r="H54" s="59">
        <v>0.08</v>
      </c>
      <c r="I54" s="59">
        <v>0.18</v>
      </c>
      <c r="J54" s="59">
        <v>8.02</v>
      </c>
      <c r="K54" s="59">
        <v>144.1</v>
      </c>
      <c r="L54" s="59">
        <v>169.12</v>
      </c>
      <c r="M54" s="59">
        <v>20.22</v>
      </c>
      <c r="N54" s="59">
        <v>149.96</v>
      </c>
      <c r="O54" s="60">
        <v>1.72</v>
      </c>
    </row>
    <row r="55" spans="1:15" ht="31.5" x14ac:dyDescent="0.25">
      <c r="A55" s="39" t="s">
        <v>136</v>
      </c>
      <c r="B55" s="46" t="s">
        <v>224</v>
      </c>
      <c r="C55" s="50">
        <v>180</v>
      </c>
      <c r="D55" s="41">
        <v>7.66</v>
      </c>
      <c r="E55" s="41">
        <v>5.68</v>
      </c>
      <c r="F55" s="41">
        <v>31.89</v>
      </c>
      <c r="G55" s="73">
        <f t="shared" ref="G55" si="11">(F55+D55)*4+(E55*9)</f>
        <v>209.32</v>
      </c>
      <c r="H55" s="41">
        <v>3.2000000000000001E-2</v>
      </c>
      <c r="I55" s="41">
        <v>0.38</v>
      </c>
      <c r="J55" s="41">
        <v>10.95</v>
      </c>
      <c r="K55" s="41">
        <v>80.8</v>
      </c>
      <c r="L55" s="41">
        <v>121.97</v>
      </c>
      <c r="M55" s="41">
        <v>36.82</v>
      </c>
      <c r="N55" s="41">
        <v>109.03</v>
      </c>
      <c r="O55" s="42">
        <v>1.98</v>
      </c>
    </row>
    <row r="56" spans="1:15" ht="15.75" x14ac:dyDescent="0.25">
      <c r="A56" s="11" t="s">
        <v>127</v>
      </c>
      <c r="B56" s="12" t="s">
        <v>169</v>
      </c>
      <c r="C56" s="13">
        <v>200</v>
      </c>
      <c r="D56" s="25">
        <v>0.2</v>
      </c>
      <c r="E56" s="25">
        <v>0</v>
      </c>
      <c r="F56" s="25">
        <v>17.48</v>
      </c>
      <c r="G56" s="64">
        <f t="shared" ref="G56:G58" si="12">4*(D56+F56)+(9*E56)</f>
        <v>70.72</v>
      </c>
      <c r="H56" s="25">
        <v>0.26</v>
      </c>
      <c r="I56" s="25">
        <v>0.04</v>
      </c>
      <c r="J56" s="25">
        <v>6</v>
      </c>
      <c r="K56" s="25">
        <v>0</v>
      </c>
      <c r="L56" s="25">
        <v>8.0500000000000007</v>
      </c>
      <c r="M56" s="25">
        <v>3.24</v>
      </c>
      <c r="N56" s="25">
        <v>9.7799999999999994</v>
      </c>
      <c r="O56" s="26">
        <v>0.19</v>
      </c>
    </row>
    <row r="57" spans="1:15" ht="15.75" x14ac:dyDescent="0.25">
      <c r="A57" s="11"/>
      <c r="B57" s="12" t="s">
        <v>92</v>
      </c>
      <c r="C57" s="13">
        <v>25</v>
      </c>
      <c r="D57" s="13">
        <v>1.3</v>
      </c>
      <c r="E57" s="13">
        <v>0.2</v>
      </c>
      <c r="F57" s="13">
        <v>8.1999999999999993</v>
      </c>
      <c r="G57" s="64">
        <f t="shared" si="12"/>
        <v>39.799999999999997</v>
      </c>
      <c r="H57" s="13">
        <v>2.1999999999999999E-2</v>
      </c>
      <c r="I57" s="13">
        <v>0.01</v>
      </c>
      <c r="J57" s="13">
        <v>0</v>
      </c>
      <c r="K57" s="13">
        <v>0</v>
      </c>
      <c r="L57" s="13">
        <v>5</v>
      </c>
      <c r="M57" s="13">
        <v>2.8</v>
      </c>
      <c r="N57" s="13">
        <v>13</v>
      </c>
      <c r="O57" s="14">
        <v>0.22</v>
      </c>
    </row>
    <row r="58" spans="1:15" ht="16.5" thickBot="1" x14ac:dyDescent="0.3">
      <c r="A58" s="11" t="s">
        <v>172</v>
      </c>
      <c r="B58" s="12" t="s">
        <v>170</v>
      </c>
      <c r="C58" s="13">
        <v>50</v>
      </c>
      <c r="D58" s="63">
        <v>13.2</v>
      </c>
      <c r="E58" s="63">
        <f>26.96*0.5</f>
        <v>13.48</v>
      </c>
      <c r="F58" s="63">
        <v>31.675000000000001</v>
      </c>
      <c r="G58" s="64">
        <f t="shared" si="12"/>
        <v>300.82</v>
      </c>
      <c r="H58" s="65">
        <v>5.1999999999999998E-2</v>
      </c>
      <c r="I58" s="65">
        <v>0.1</v>
      </c>
      <c r="J58" s="65">
        <v>0</v>
      </c>
      <c r="K58" s="65">
        <v>0</v>
      </c>
      <c r="L58" s="65">
        <v>19</v>
      </c>
      <c r="M58" s="65">
        <v>13</v>
      </c>
      <c r="N58" s="65">
        <v>61</v>
      </c>
      <c r="O58" s="66">
        <v>1</v>
      </c>
    </row>
    <row r="59" spans="1:15" ht="16.5" thickBot="1" x14ac:dyDescent="0.3">
      <c r="A59" s="90" t="s">
        <v>20</v>
      </c>
      <c r="B59" s="91"/>
      <c r="C59" s="9">
        <f>SUM(C54:C58)</f>
        <v>555</v>
      </c>
      <c r="D59" s="75">
        <f t="shared" ref="D59:O59" si="13">SUM(D54:D58)</f>
        <v>30.644500000000001</v>
      </c>
      <c r="E59" s="75">
        <f t="shared" si="13"/>
        <v>26.060500000000001</v>
      </c>
      <c r="F59" s="75">
        <f t="shared" si="13"/>
        <v>94.685500000000005</v>
      </c>
      <c r="G59" s="75">
        <f t="shared" si="13"/>
        <v>735.86450000000002</v>
      </c>
      <c r="H59" s="9">
        <f t="shared" si="13"/>
        <v>0.44600000000000001</v>
      </c>
      <c r="I59" s="9">
        <f t="shared" si="13"/>
        <v>0.71000000000000008</v>
      </c>
      <c r="J59" s="9">
        <f t="shared" si="13"/>
        <v>24.97</v>
      </c>
      <c r="K59" s="9">
        <f t="shared" si="13"/>
        <v>224.89999999999998</v>
      </c>
      <c r="L59" s="9">
        <f t="shared" si="13"/>
        <v>323.14000000000004</v>
      </c>
      <c r="M59" s="9">
        <f t="shared" si="13"/>
        <v>76.08</v>
      </c>
      <c r="N59" s="9">
        <f t="shared" si="13"/>
        <v>342.77</v>
      </c>
      <c r="O59" s="10">
        <f t="shared" si="13"/>
        <v>5.1100000000000003</v>
      </c>
    </row>
    <row r="60" spans="1:15" ht="15.75" x14ac:dyDescent="0.25">
      <c r="A60" s="92" t="s">
        <v>21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4"/>
    </row>
    <row r="61" spans="1:15" ht="15.75" x14ac:dyDescent="0.25">
      <c r="A61" s="11" t="s">
        <v>103</v>
      </c>
      <c r="B61" s="12" t="s">
        <v>98</v>
      </c>
      <c r="C61" s="13">
        <v>250</v>
      </c>
      <c r="D61" s="13">
        <v>4.78</v>
      </c>
      <c r="E61" s="13">
        <v>8.65</v>
      </c>
      <c r="F61" s="13">
        <v>14.56</v>
      </c>
      <c r="G61" s="13">
        <f>4*(D61+F61)+(E61*9)</f>
        <v>155.21</v>
      </c>
      <c r="H61" s="13">
        <v>0.12</v>
      </c>
      <c r="I61" s="13">
        <v>0.02</v>
      </c>
      <c r="J61" s="13">
        <v>2.5000000000000001E-2</v>
      </c>
      <c r="K61" s="13">
        <v>128.30000000000001</v>
      </c>
      <c r="L61" s="13">
        <v>128.1</v>
      </c>
      <c r="M61" s="13">
        <v>36.299999999999997</v>
      </c>
      <c r="N61" s="13">
        <v>83.2</v>
      </c>
      <c r="O61" s="14">
        <v>1.6060000000000001</v>
      </c>
    </row>
    <row r="62" spans="1:15" ht="15.75" x14ac:dyDescent="0.25">
      <c r="A62" s="11" t="s">
        <v>173</v>
      </c>
      <c r="B62" s="12" t="s">
        <v>99</v>
      </c>
      <c r="C62" s="13">
        <v>100</v>
      </c>
      <c r="D62" s="13">
        <v>11.75</v>
      </c>
      <c r="E62" s="13">
        <v>10.130000000000001</v>
      </c>
      <c r="F62" s="13">
        <v>39.9</v>
      </c>
      <c r="G62" s="13">
        <f t="shared" ref="G62:G66" si="14">4*(D62+F62)+(E62*9)</f>
        <v>297.77</v>
      </c>
      <c r="H62" s="13">
        <v>0.22</v>
      </c>
      <c r="I62" s="13">
        <v>0.13</v>
      </c>
      <c r="J62" s="13">
        <v>16</v>
      </c>
      <c r="K62" s="13">
        <v>107.77</v>
      </c>
      <c r="L62" s="13">
        <v>115.8</v>
      </c>
      <c r="M62" s="13">
        <v>27</v>
      </c>
      <c r="N62" s="13">
        <v>153.19999999999999</v>
      </c>
      <c r="O62" s="14">
        <v>1.722</v>
      </c>
    </row>
    <row r="63" spans="1:15" ht="15.75" x14ac:dyDescent="0.25">
      <c r="A63" s="11" t="s">
        <v>104</v>
      </c>
      <c r="B63" s="12" t="s">
        <v>100</v>
      </c>
      <c r="C63" s="13">
        <v>180</v>
      </c>
      <c r="D63" s="13">
        <v>4.58</v>
      </c>
      <c r="E63" s="13">
        <v>9.5</v>
      </c>
      <c r="F63" s="13">
        <v>46.49</v>
      </c>
      <c r="G63" s="13">
        <f t="shared" si="14"/>
        <v>289.77999999999997</v>
      </c>
      <c r="H63" s="13">
        <v>0.04</v>
      </c>
      <c r="I63" s="13">
        <v>0</v>
      </c>
      <c r="J63" s="13">
        <v>7.0000000000000007E-2</v>
      </c>
      <c r="K63" s="13">
        <v>79.099999999999994</v>
      </c>
      <c r="L63" s="13">
        <v>93.76</v>
      </c>
      <c r="M63" s="13">
        <v>27.5</v>
      </c>
      <c r="N63" s="13">
        <v>103.98</v>
      </c>
      <c r="O63" s="14">
        <v>0.83</v>
      </c>
    </row>
    <row r="64" spans="1:15" ht="15.75" x14ac:dyDescent="0.25">
      <c r="A64" s="11" t="s">
        <v>242</v>
      </c>
      <c r="B64" s="12" t="s">
        <v>241</v>
      </c>
      <c r="C64" s="13">
        <v>100</v>
      </c>
      <c r="D64" s="13">
        <v>1.1200000000000001</v>
      </c>
      <c r="E64" s="13">
        <v>2.04</v>
      </c>
      <c r="F64" s="13">
        <v>3.57</v>
      </c>
      <c r="G64" s="41">
        <f t="shared" si="14"/>
        <v>37.119999999999997</v>
      </c>
      <c r="H64" s="13">
        <v>0</v>
      </c>
      <c r="I64" s="13">
        <v>1.4E-2</v>
      </c>
      <c r="J64" s="13">
        <v>1.5</v>
      </c>
      <c r="K64" s="13">
        <v>0</v>
      </c>
      <c r="L64" s="13">
        <v>8.4</v>
      </c>
      <c r="M64" s="13">
        <v>6</v>
      </c>
      <c r="N64" s="13">
        <v>15.6</v>
      </c>
      <c r="O64" s="14">
        <v>0.54</v>
      </c>
    </row>
    <row r="65" spans="1:15" ht="15.75" x14ac:dyDescent="0.25">
      <c r="A65" s="43" t="s">
        <v>105</v>
      </c>
      <c r="B65" s="12" t="s">
        <v>101</v>
      </c>
      <c r="C65" s="41">
        <v>180</v>
      </c>
      <c r="D65" s="41">
        <v>0.2</v>
      </c>
      <c r="E65" s="41">
        <v>0.06</v>
      </c>
      <c r="F65" s="41">
        <v>22.62</v>
      </c>
      <c r="G65" s="41">
        <f t="shared" si="14"/>
        <v>91.820000000000007</v>
      </c>
      <c r="H65" s="41">
        <v>0</v>
      </c>
      <c r="I65" s="41">
        <v>0.1</v>
      </c>
      <c r="J65" s="41">
        <v>0</v>
      </c>
      <c r="K65" s="41">
        <v>0</v>
      </c>
      <c r="L65" s="41">
        <v>46.25</v>
      </c>
      <c r="M65" s="41">
        <v>4.4000000000000004</v>
      </c>
      <c r="N65" s="41">
        <v>8.24</v>
      </c>
      <c r="O65" s="42">
        <v>0.86</v>
      </c>
    </row>
    <row r="66" spans="1:15" ht="16.5" thickBot="1" x14ac:dyDescent="0.3">
      <c r="A66" s="23"/>
      <c r="B66" s="24" t="s">
        <v>92</v>
      </c>
      <c r="C66" s="25">
        <v>25</v>
      </c>
      <c r="D66" s="13">
        <v>1.3</v>
      </c>
      <c r="E66" s="13">
        <v>0.2</v>
      </c>
      <c r="F66" s="13">
        <v>8.1999999999999993</v>
      </c>
      <c r="G66" s="13">
        <f t="shared" si="14"/>
        <v>39.799999999999997</v>
      </c>
      <c r="H66" s="13">
        <v>2.1999999999999999E-2</v>
      </c>
      <c r="I66" s="13">
        <v>0.01</v>
      </c>
      <c r="J66" s="13">
        <v>0</v>
      </c>
      <c r="K66" s="13">
        <v>0</v>
      </c>
      <c r="L66" s="13">
        <v>5</v>
      </c>
      <c r="M66" s="13">
        <v>2.8</v>
      </c>
      <c r="N66" s="13">
        <v>13</v>
      </c>
      <c r="O66" s="14">
        <v>0.22</v>
      </c>
    </row>
    <row r="67" spans="1:15" ht="16.5" thickBot="1" x14ac:dyDescent="0.3">
      <c r="A67" s="90" t="s">
        <v>20</v>
      </c>
      <c r="B67" s="91"/>
      <c r="C67" s="9">
        <f t="shared" ref="C67:O67" si="15">SUM(C61:C66)</f>
        <v>835</v>
      </c>
      <c r="D67" s="9">
        <f t="shared" si="15"/>
        <v>23.73</v>
      </c>
      <c r="E67" s="9">
        <f t="shared" si="15"/>
        <v>30.58</v>
      </c>
      <c r="F67" s="9">
        <f t="shared" si="15"/>
        <v>135.34</v>
      </c>
      <c r="G67" s="9">
        <f t="shared" si="15"/>
        <v>911.5</v>
      </c>
      <c r="H67" s="9">
        <f t="shared" si="15"/>
        <v>0.40199999999999997</v>
      </c>
      <c r="I67" s="9">
        <f t="shared" si="15"/>
        <v>0.27400000000000002</v>
      </c>
      <c r="J67" s="9">
        <f t="shared" si="15"/>
        <v>17.594999999999999</v>
      </c>
      <c r="K67" s="9">
        <f t="shared" si="15"/>
        <v>315.16999999999996</v>
      </c>
      <c r="L67" s="9">
        <f t="shared" si="15"/>
        <v>397.30999999999995</v>
      </c>
      <c r="M67" s="9">
        <f t="shared" si="15"/>
        <v>104</v>
      </c>
      <c r="N67" s="9">
        <f t="shared" si="15"/>
        <v>377.22</v>
      </c>
      <c r="O67" s="10">
        <f t="shared" si="15"/>
        <v>5.7780000000000005</v>
      </c>
    </row>
    <row r="68" spans="1:15" ht="16.5" thickBot="1" x14ac:dyDescent="0.3">
      <c r="A68" s="28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30"/>
    </row>
    <row r="69" spans="1:15" ht="15.75" x14ac:dyDescent="0.25">
      <c r="A69" s="144" t="s">
        <v>51</v>
      </c>
      <c r="B69" s="145"/>
      <c r="C69" s="67">
        <f t="shared" ref="C69:O69" si="16">C52+C67</f>
        <v>1385</v>
      </c>
      <c r="D69" s="68">
        <f t="shared" si="16"/>
        <v>54.21</v>
      </c>
      <c r="E69" s="68">
        <f t="shared" si="16"/>
        <v>56.039999999999992</v>
      </c>
      <c r="F69" s="68">
        <f t="shared" si="16"/>
        <v>230.32</v>
      </c>
      <c r="G69" s="68">
        <f t="shared" si="16"/>
        <v>1642.48</v>
      </c>
      <c r="H69" s="67">
        <f t="shared" si="16"/>
        <v>0.84099999999999997</v>
      </c>
      <c r="I69" s="67">
        <f t="shared" si="16"/>
        <v>0.96400000000000008</v>
      </c>
      <c r="J69" s="67">
        <f t="shared" si="16"/>
        <v>42.445</v>
      </c>
      <c r="K69" s="67">
        <f t="shared" si="16"/>
        <v>539.46999999999991</v>
      </c>
      <c r="L69" s="67">
        <f t="shared" si="16"/>
        <v>720.82999999999993</v>
      </c>
      <c r="M69" s="67">
        <f t="shared" si="16"/>
        <v>180.85999999999999</v>
      </c>
      <c r="N69" s="67">
        <f t="shared" si="16"/>
        <v>720.73</v>
      </c>
      <c r="O69" s="69">
        <f t="shared" si="16"/>
        <v>10.818000000000001</v>
      </c>
    </row>
    <row r="70" spans="1:15" ht="16.5" thickBot="1" x14ac:dyDescent="0.3">
      <c r="A70" s="146" t="s">
        <v>52</v>
      </c>
      <c r="B70" s="147"/>
      <c r="C70" s="70">
        <f t="shared" ref="C70:O70" si="17">C59+C67</f>
        <v>1390</v>
      </c>
      <c r="D70" s="76">
        <f t="shared" si="17"/>
        <v>54.374499999999998</v>
      </c>
      <c r="E70" s="76">
        <f t="shared" si="17"/>
        <v>56.640500000000003</v>
      </c>
      <c r="F70" s="76">
        <f t="shared" si="17"/>
        <v>230.02550000000002</v>
      </c>
      <c r="G70" s="76">
        <f t="shared" si="17"/>
        <v>1647.3645000000001</v>
      </c>
      <c r="H70" s="70">
        <f t="shared" si="17"/>
        <v>0.84799999999999998</v>
      </c>
      <c r="I70" s="70">
        <f t="shared" si="17"/>
        <v>0.9840000000000001</v>
      </c>
      <c r="J70" s="70">
        <f t="shared" si="17"/>
        <v>42.564999999999998</v>
      </c>
      <c r="K70" s="77">
        <f t="shared" si="17"/>
        <v>540.06999999999994</v>
      </c>
      <c r="L70" s="77">
        <f t="shared" si="17"/>
        <v>720.45</v>
      </c>
      <c r="M70" s="70">
        <f t="shared" si="17"/>
        <v>180.07999999999998</v>
      </c>
      <c r="N70" s="70">
        <f t="shared" si="17"/>
        <v>719.99</v>
      </c>
      <c r="O70" s="72">
        <f t="shared" si="17"/>
        <v>10.888000000000002</v>
      </c>
    </row>
    <row r="71" spans="1:15" s="1" customFormat="1" ht="15.75" x14ac:dyDescent="0.25">
      <c r="A71" s="32"/>
      <c r="B71" s="32"/>
      <c r="C71" s="34"/>
      <c r="D71" s="33"/>
      <c r="E71" s="33"/>
      <c r="F71" s="33"/>
      <c r="G71" s="33"/>
      <c r="H71" s="33"/>
      <c r="I71" s="33"/>
      <c r="J71" s="33"/>
      <c r="K71" s="33"/>
      <c r="L71" s="33"/>
      <c r="M71" s="34"/>
      <c r="N71" s="34"/>
      <c r="O71" s="34"/>
    </row>
    <row r="72" spans="1:15" s="1" customFormat="1" ht="15.75" x14ac:dyDescent="0.25">
      <c r="A72" s="32"/>
      <c r="B72" s="32"/>
      <c r="C72" s="34"/>
      <c r="D72" s="33"/>
      <c r="E72" s="33"/>
      <c r="F72" s="33"/>
      <c r="G72" s="33"/>
      <c r="H72" s="33"/>
      <c r="I72" s="33"/>
      <c r="J72" s="33"/>
      <c r="K72" s="33"/>
      <c r="L72" s="33"/>
      <c r="M72" s="34"/>
      <c r="N72" s="34"/>
      <c r="O72" s="34"/>
    </row>
    <row r="73" spans="1:15" s="1" customFormat="1" x14ac:dyDescent="0.25">
      <c r="A73" s="87" t="s">
        <v>210</v>
      </c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</row>
    <row r="74" spans="1:15" s="1" customFormat="1" ht="15.75" x14ac:dyDescent="0.25">
      <c r="A74" s="32"/>
      <c r="B74" s="32"/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4"/>
      <c r="O74" s="34"/>
    </row>
    <row r="75" spans="1:15" s="1" customFormat="1" ht="15.75" x14ac:dyDescent="0.25">
      <c r="A75" s="151" t="s">
        <v>207</v>
      </c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</row>
    <row r="76" spans="1:15" s="1" customFormat="1" ht="16.5" thickBot="1" x14ac:dyDescent="0.3">
      <c r="A76" s="32"/>
      <c r="B76" s="32"/>
      <c r="C76" s="34"/>
      <c r="D76" s="33"/>
      <c r="E76" s="33"/>
      <c r="F76" s="33"/>
      <c r="G76" s="33"/>
      <c r="H76" s="33"/>
      <c r="I76" s="33"/>
      <c r="J76" s="33"/>
      <c r="K76" s="33"/>
      <c r="L76" s="33"/>
      <c r="M76" s="34"/>
      <c r="N76" s="34"/>
      <c r="O76" s="34"/>
    </row>
    <row r="77" spans="1:15" s="1" customFormat="1" x14ac:dyDescent="0.25">
      <c r="A77" s="98" t="s">
        <v>0</v>
      </c>
      <c r="B77" s="100" t="s">
        <v>1</v>
      </c>
      <c r="C77" s="102" t="s">
        <v>2</v>
      </c>
      <c r="D77" s="104" t="s">
        <v>3</v>
      </c>
      <c r="E77" s="105"/>
      <c r="F77" s="106"/>
      <c r="G77" s="102" t="s">
        <v>4</v>
      </c>
      <c r="H77" s="107" t="s">
        <v>5</v>
      </c>
      <c r="I77" s="107"/>
      <c r="J77" s="107"/>
      <c r="K77" s="107"/>
      <c r="L77" s="108" t="s">
        <v>6</v>
      </c>
      <c r="M77" s="109"/>
      <c r="N77" s="109"/>
      <c r="O77" s="110"/>
    </row>
    <row r="78" spans="1:15" ht="54" customHeight="1" thickBot="1" x14ac:dyDescent="0.3">
      <c r="A78" s="99"/>
      <c r="B78" s="101"/>
      <c r="C78" s="103"/>
      <c r="D78" s="35" t="s">
        <v>7</v>
      </c>
      <c r="E78" s="35" t="s">
        <v>8</v>
      </c>
      <c r="F78" s="35" t="s">
        <v>9</v>
      </c>
      <c r="G78" s="103"/>
      <c r="H78" s="36" t="s">
        <v>10</v>
      </c>
      <c r="I78" s="36" t="s">
        <v>16</v>
      </c>
      <c r="J78" s="36" t="s">
        <v>11</v>
      </c>
      <c r="K78" s="36" t="s">
        <v>17</v>
      </c>
      <c r="L78" s="37" t="s">
        <v>12</v>
      </c>
      <c r="M78" s="36" t="s">
        <v>13</v>
      </c>
      <c r="N78" s="36" t="s">
        <v>14</v>
      </c>
      <c r="O78" s="38" t="s">
        <v>15</v>
      </c>
    </row>
    <row r="79" spans="1:15" ht="15.75" x14ac:dyDescent="0.25">
      <c r="A79" s="84" t="s">
        <v>25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6"/>
    </row>
    <row r="80" spans="1:15" ht="15.75" x14ac:dyDescent="0.25">
      <c r="A80" s="92" t="s">
        <v>47</v>
      </c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4"/>
    </row>
    <row r="81" spans="1:15" ht="15.75" x14ac:dyDescent="0.25">
      <c r="A81" s="11" t="s">
        <v>195</v>
      </c>
      <c r="B81" s="12" t="s">
        <v>243</v>
      </c>
      <c r="C81" s="13">
        <v>100</v>
      </c>
      <c r="D81" s="13">
        <v>8.4</v>
      </c>
      <c r="E81" s="13">
        <v>11.94</v>
      </c>
      <c r="F81" s="13">
        <v>17.399999999999999</v>
      </c>
      <c r="G81" s="41">
        <f t="shared" ref="G81" si="18">4*(D81+F81)+(E81*9)</f>
        <v>210.65999999999997</v>
      </c>
      <c r="H81" s="13">
        <v>0.16</v>
      </c>
      <c r="I81" s="13">
        <v>0.14000000000000001</v>
      </c>
      <c r="J81" s="13">
        <v>22</v>
      </c>
      <c r="K81" s="13">
        <v>132</v>
      </c>
      <c r="L81" s="13">
        <v>141.30000000000001</v>
      </c>
      <c r="M81" s="13">
        <v>19.600000000000001</v>
      </c>
      <c r="N81" s="13">
        <v>107.4</v>
      </c>
      <c r="O81" s="14">
        <v>1.232</v>
      </c>
    </row>
    <row r="82" spans="1:15" ht="15.75" x14ac:dyDescent="0.25">
      <c r="A82" s="44" t="s">
        <v>104</v>
      </c>
      <c r="B82" s="12" t="s">
        <v>218</v>
      </c>
      <c r="C82" s="13">
        <v>180</v>
      </c>
      <c r="D82" s="13">
        <v>6.3</v>
      </c>
      <c r="E82" s="13">
        <v>6.2</v>
      </c>
      <c r="F82" s="13">
        <v>37.299999999999997</v>
      </c>
      <c r="G82" s="13">
        <f t="shared" ref="G82" si="19">4*(D82+F82)+(9*E82)</f>
        <v>230.2</v>
      </c>
      <c r="H82" s="13">
        <v>0</v>
      </c>
      <c r="I82" s="13">
        <v>1.7999999999999999E-2</v>
      </c>
      <c r="J82" s="13">
        <v>0</v>
      </c>
      <c r="K82" s="13">
        <v>0</v>
      </c>
      <c r="L82" s="13">
        <v>95.35</v>
      </c>
      <c r="M82" s="13">
        <v>11.4</v>
      </c>
      <c r="N82" s="13">
        <v>71.239999999999995</v>
      </c>
      <c r="O82" s="14">
        <v>2.46</v>
      </c>
    </row>
    <row r="83" spans="1:15" ht="15.75" x14ac:dyDescent="0.25">
      <c r="A83" s="11" t="s">
        <v>114</v>
      </c>
      <c r="B83" s="12" t="s">
        <v>84</v>
      </c>
      <c r="C83" s="13">
        <v>200</v>
      </c>
      <c r="D83" s="13">
        <v>0.05</v>
      </c>
      <c r="E83" s="13">
        <v>0.02</v>
      </c>
      <c r="F83" s="13">
        <v>9.32</v>
      </c>
      <c r="G83" s="13">
        <f t="shared" ref="G83" si="20">4*(D83+F83)+(9*E83)</f>
        <v>37.660000000000004</v>
      </c>
      <c r="H83" s="13">
        <v>0</v>
      </c>
      <c r="I83" s="13">
        <v>0</v>
      </c>
      <c r="J83" s="13">
        <v>0.02</v>
      </c>
      <c r="K83" s="13">
        <v>0</v>
      </c>
      <c r="L83" s="13">
        <v>8</v>
      </c>
      <c r="M83" s="13">
        <v>0.9</v>
      </c>
      <c r="N83" s="13">
        <v>1.6</v>
      </c>
      <c r="O83" s="14">
        <v>0.19</v>
      </c>
    </row>
    <row r="84" spans="1:15" s="1" customFormat="1" ht="15.75" x14ac:dyDescent="0.25">
      <c r="A84" s="23"/>
      <c r="B84" s="12" t="s">
        <v>86</v>
      </c>
      <c r="C84" s="13">
        <v>25</v>
      </c>
      <c r="D84" s="13">
        <v>1.6</v>
      </c>
      <c r="E84" s="13">
        <v>0.2</v>
      </c>
      <c r="F84" s="13">
        <v>10.4</v>
      </c>
      <c r="G84" s="13">
        <f>4*(D84+F84)+(E84*9)</f>
        <v>49.8</v>
      </c>
      <c r="H84" s="13">
        <v>2.1999999999999999E-2</v>
      </c>
      <c r="I84" s="13">
        <v>0.01</v>
      </c>
      <c r="J84" s="13">
        <v>0</v>
      </c>
      <c r="K84" s="13">
        <v>0</v>
      </c>
      <c r="L84" s="13">
        <v>4.5999999999999996</v>
      </c>
      <c r="M84" s="13">
        <v>2.1</v>
      </c>
      <c r="N84" s="13">
        <v>21.2</v>
      </c>
      <c r="O84" s="14">
        <v>0.2</v>
      </c>
    </row>
    <row r="85" spans="1:15" ht="16.5" thickBot="1" x14ac:dyDescent="0.3">
      <c r="A85" s="23"/>
      <c r="B85" s="24" t="s">
        <v>247</v>
      </c>
      <c r="C85" s="25">
        <v>30</v>
      </c>
      <c r="D85" s="13">
        <v>1.3</v>
      </c>
      <c r="E85" s="13">
        <v>0.2</v>
      </c>
      <c r="F85" s="13">
        <v>28.2</v>
      </c>
      <c r="G85" s="13">
        <f t="shared" ref="G85" si="21">4*(D85+F85)+(E85*9)</f>
        <v>119.8</v>
      </c>
      <c r="H85" s="13">
        <v>2.1999999999999999E-2</v>
      </c>
      <c r="I85" s="13">
        <v>0.01</v>
      </c>
      <c r="J85" s="13">
        <v>0</v>
      </c>
      <c r="K85" s="13">
        <v>28.7</v>
      </c>
      <c r="L85" s="13">
        <v>5</v>
      </c>
      <c r="M85" s="13">
        <v>4.8</v>
      </c>
      <c r="N85" s="13">
        <v>13</v>
      </c>
      <c r="O85" s="14">
        <v>0.22</v>
      </c>
    </row>
    <row r="86" spans="1:15" ht="16.5" thickBot="1" x14ac:dyDescent="0.3">
      <c r="A86" s="90" t="s">
        <v>20</v>
      </c>
      <c r="B86" s="91"/>
      <c r="C86" s="9">
        <f t="shared" ref="C86:O86" si="22">SUM(C81:C85)</f>
        <v>535</v>
      </c>
      <c r="D86" s="9">
        <f t="shared" si="22"/>
        <v>17.650000000000002</v>
      </c>
      <c r="E86" s="9">
        <f t="shared" si="22"/>
        <v>18.559999999999999</v>
      </c>
      <c r="F86" s="61">
        <f t="shared" si="22"/>
        <v>102.62</v>
      </c>
      <c r="G86" s="9">
        <f t="shared" si="22"/>
        <v>648.11999999999989</v>
      </c>
      <c r="H86" s="62">
        <f t="shared" si="22"/>
        <v>0.20399999999999999</v>
      </c>
      <c r="I86" s="9">
        <f t="shared" si="22"/>
        <v>0.17800000000000002</v>
      </c>
      <c r="J86" s="9">
        <f t="shared" si="22"/>
        <v>22.02</v>
      </c>
      <c r="K86" s="9">
        <f t="shared" si="22"/>
        <v>160.69999999999999</v>
      </c>
      <c r="L86" s="9">
        <f t="shared" si="22"/>
        <v>254.25</v>
      </c>
      <c r="M86" s="9">
        <f t="shared" si="22"/>
        <v>38.799999999999997</v>
      </c>
      <c r="N86" s="9">
        <f t="shared" si="22"/>
        <v>214.43999999999997</v>
      </c>
      <c r="O86" s="10">
        <f t="shared" si="22"/>
        <v>4.3019999999999996</v>
      </c>
    </row>
    <row r="87" spans="1:15" ht="15.75" x14ac:dyDescent="0.25">
      <c r="A87" s="92" t="s">
        <v>48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4"/>
    </row>
    <row r="88" spans="1:15" ht="15.75" x14ac:dyDescent="0.25">
      <c r="A88" s="11" t="s">
        <v>124</v>
      </c>
      <c r="B88" s="12" t="s">
        <v>139</v>
      </c>
      <c r="C88" s="49">
        <v>200</v>
      </c>
      <c r="D88" s="13">
        <v>8.49</v>
      </c>
      <c r="E88" s="13">
        <v>7.08</v>
      </c>
      <c r="F88" s="13">
        <v>24.48</v>
      </c>
      <c r="G88" s="13">
        <f>4*(D88+F88)+(9*E88)</f>
        <v>195.6</v>
      </c>
      <c r="H88" s="13">
        <v>3.7999999999999999E-2</v>
      </c>
      <c r="I88" s="13">
        <v>3.4000000000000002E-2</v>
      </c>
      <c r="J88" s="13">
        <v>4.9000000000000004</v>
      </c>
      <c r="K88" s="13">
        <v>57.4</v>
      </c>
      <c r="L88" s="13">
        <v>118.4</v>
      </c>
      <c r="M88" s="13">
        <v>29.35</v>
      </c>
      <c r="N88" s="13">
        <v>61.4</v>
      </c>
      <c r="O88" s="14">
        <v>1.92</v>
      </c>
    </row>
    <row r="89" spans="1:15" ht="15.75" x14ac:dyDescent="0.25">
      <c r="A89" s="11"/>
      <c r="B89" s="12" t="s">
        <v>221</v>
      </c>
      <c r="C89" s="13">
        <v>75</v>
      </c>
      <c r="D89" s="13">
        <v>6.02</v>
      </c>
      <c r="E89" s="13">
        <v>11.28</v>
      </c>
      <c r="F89" s="13">
        <v>22.41</v>
      </c>
      <c r="G89" s="13">
        <f t="shared" ref="G89" si="23">4*(D89+F89)+(9*E89)</f>
        <v>215.24</v>
      </c>
      <c r="H89" s="13">
        <v>0.03</v>
      </c>
      <c r="I89" s="13">
        <v>0.01</v>
      </c>
      <c r="J89" s="13">
        <v>1</v>
      </c>
      <c r="K89" s="13">
        <v>26.4</v>
      </c>
      <c r="L89" s="13">
        <v>87.7</v>
      </c>
      <c r="M89" s="13">
        <v>1</v>
      </c>
      <c r="N89" s="13">
        <v>86.7</v>
      </c>
      <c r="O89" s="14">
        <v>0.5</v>
      </c>
    </row>
    <row r="90" spans="1:15" ht="15.75" x14ac:dyDescent="0.25">
      <c r="A90" s="11"/>
      <c r="B90" s="12" t="s">
        <v>85</v>
      </c>
      <c r="C90" s="13">
        <v>40</v>
      </c>
      <c r="D90" s="13">
        <v>0.7</v>
      </c>
      <c r="E90" s="13">
        <v>0.3</v>
      </c>
      <c r="F90" s="13">
        <v>32</v>
      </c>
      <c r="G90" s="13">
        <f t="shared" ref="G90" si="24">4*(D90+F90)+(E90*9)</f>
        <v>133.5</v>
      </c>
      <c r="H90" s="13">
        <v>0.06</v>
      </c>
      <c r="I90" s="13">
        <v>0.1</v>
      </c>
      <c r="J90" s="13">
        <v>11</v>
      </c>
      <c r="K90" s="13">
        <v>76</v>
      </c>
      <c r="L90" s="13">
        <v>35</v>
      </c>
      <c r="M90" s="13">
        <v>1</v>
      </c>
      <c r="N90" s="13">
        <v>35</v>
      </c>
      <c r="O90" s="14">
        <v>1.46</v>
      </c>
    </row>
    <row r="91" spans="1:15" ht="15.75" x14ac:dyDescent="0.25">
      <c r="A91" s="11" t="s">
        <v>114</v>
      </c>
      <c r="B91" s="12" t="s">
        <v>111</v>
      </c>
      <c r="C91" s="13">
        <v>205</v>
      </c>
      <c r="D91" s="25">
        <v>7.0000000000000007E-2</v>
      </c>
      <c r="E91" s="25">
        <v>0.02</v>
      </c>
      <c r="F91" s="25">
        <v>16.89</v>
      </c>
      <c r="G91" s="13">
        <f t="shared" ref="G91" si="25">4*(D91+F91)+(9*E91)</f>
        <v>68.02000000000001</v>
      </c>
      <c r="H91" s="25">
        <v>2.8000000000000001E-2</v>
      </c>
      <c r="I91" s="25">
        <v>0.04</v>
      </c>
      <c r="J91" s="25">
        <v>5</v>
      </c>
      <c r="K91" s="25">
        <v>0</v>
      </c>
      <c r="L91" s="25">
        <v>8.0500000000000007</v>
      </c>
      <c r="M91" s="25">
        <v>5.24</v>
      </c>
      <c r="N91" s="25">
        <v>9.7799999999999994</v>
      </c>
      <c r="O91" s="26">
        <v>0.19</v>
      </c>
    </row>
    <row r="92" spans="1:15" ht="16.5" thickBot="1" x14ac:dyDescent="0.3">
      <c r="A92" s="11"/>
      <c r="B92" s="12" t="s">
        <v>86</v>
      </c>
      <c r="C92" s="13">
        <v>25</v>
      </c>
      <c r="D92" s="13">
        <v>1.6</v>
      </c>
      <c r="E92" s="13">
        <v>0.2</v>
      </c>
      <c r="F92" s="13">
        <v>10.4</v>
      </c>
      <c r="G92" s="13">
        <f>4*(D92+F92)+(9*E92)</f>
        <v>49.8</v>
      </c>
      <c r="H92" s="13">
        <v>2.1999999999999999E-2</v>
      </c>
      <c r="I92" s="13">
        <v>0.01</v>
      </c>
      <c r="J92" s="13">
        <v>0</v>
      </c>
      <c r="K92" s="13">
        <v>0</v>
      </c>
      <c r="L92" s="13">
        <v>4.5999999999999996</v>
      </c>
      <c r="M92" s="13">
        <v>2.1</v>
      </c>
      <c r="N92" s="13">
        <v>21.2</v>
      </c>
      <c r="O92" s="14">
        <v>0.2</v>
      </c>
    </row>
    <row r="93" spans="1:15" ht="16.5" thickBot="1" x14ac:dyDescent="0.3">
      <c r="A93" s="90" t="s">
        <v>20</v>
      </c>
      <c r="B93" s="91"/>
      <c r="C93" s="9">
        <f>SUM(C88:C92)</f>
        <v>545</v>
      </c>
      <c r="D93" s="9">
        <f t="shared" ref="D93:O93" si="26">SUM(D88:D92)</f>
        <v>16.88</v>
      </c>
      <c r="E93" s="9">
        <f t="shared" si="26"/>
        <v>18.88</v>
      </c>
      <c r="F93" s="9">
        <f t="shared" si="26"/>
        <v>106.18</v>
      </c>
      <c r="G93" s="9">
        <f t="shared" si="26"/>
        <v>662.16</v>
      </c>
      <c r="H93" s="9">
        <f t="shared" si="26"/>
        <v>0.17799999999999999</v>
      </c>
      <c r="I93" s="9">
        <f t="shared" si="26"/>
        <v>0.19400000000000003</v>
      </c>
      <c r="J93" s="9">
        <f t="shared" si="26"/>
        <v>21.9</v>
      </c>
      <c r="K93" s="9">
        <f t="shared" si="26"/>
        <v>159.80000000000001</v>
      </c>
      <c r="L93" s="9">
        <f t="shared" si="26"/>
        <v>253.75000000000003</v>
      </c>
      <c r="M93" s="9">
        <f t="shared" si="26"/>
        <v>38.690000000000005</v>
      </c>
      <c r="N93" s="9">
        <f t="shared" si="26"/>
        <v>214.07999999999998</v>
      </c>
      <c r="O93" s="10">
        <f t="shared" si="26"/>
        <v>4.2700000000000005</v>
      </c>
    </row>
    <row r="94" spans="1:15" ht="15.75" x14ac:dyDescent="0.25">
      <c r="A94" s="92" t="s">
        <v>21</v>
      </c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4"/>
    </row>
    <row r="95" spans="1:15" ht="15.75" x14ac:dyDescent="0.25">
      <c r="A95" s="11" t="s">
        <v>115</v>
      </c>
      <c r="B95" s="12" t="s">
        <v>248</v>
      </c>
      <c r="C95" s="13">
        <v>270</v>
      </c>
      <c r="D95" s="13">
        <v>13.08</v>
      </c>
      <c r="E95" s="13">
        <v>14.17</v>
      </c>
      <c r="F95" s="13">
        <v>30.62</v>
      </c>
      <c r="G95" s="13">
        <f>4*(D95+F95)+(9*E95)</f>
        <v>302.33000000000004</v>
      </c>
      <c r="H95" s="13">
        <v>0.26</v>
      </c>
      <c r="I95" s="13">
        <v>3.2000000000000001E-2</v>
      </c>
      <c r="J95" s="13">
        <v>9.6999999999999993</v>
      </c>
      <c r="K95" s="13">
        <v>139.19999999999999</v>
      </c>
      <c r="L95" s="13">
        <v>162.80000000000001</v>
      </c>
      <c r="M95" s="13">
        <v>47.63</v>
      </c>
      <c r="N95" s="13">
        <v>236.52</v>
      </c>
      <c r="O95" s="14">
        <v>4.01</v>
      </c>
    </row>
    <row r="96" spans="1:15" ht="15.75" x14ac:dyDescent="0.25">
      <c r="A96" s="11" t="s">
        <v>231</v>
      </c>
      <c r="B96" s="12" t="s">
        <v>230</v>
      </c>
      <c r="C96" s="13">
        <v>100</v>
      </c>
      <c r="D96" s="13">
        <v>17.27</v>
      </c>
      <c r="E96" s="13">
        <v>18.37</v>
      </c>
      <c r="F96" s="13">
        <v>40.909999999999997</v>
      </c>
      <c r="G96" s="13">
        <f t="shared" ref="G96:G100" si="27">4*(D96+F96)+(9*E96)</f>
        <v>398.04999999999995</v>
      </c>
      <c r="H96" s="13">
        <v>0.28000000000000003</v>
      </c>
      <c r="I96" s="13">
        <v>2.8000000000000001E-2</v>
      </c>
      <c r="J96" s="13">
        <v>8.56</v>
      </c>
      <c r="K96" s="13">
        <v>150.4</v>
      </c>
      <c r="L96" s="13">
        <v>179.9</v>
      </c>
      <c r="M96" s="13">
        <v>24.2</v>
      </c>
      <c r="N96" s="13">
        <v>189.7</v>
      </c>
      <c r="O96" s="14">
        <v>1.0900000000000001</v>
      </c>
    </row>
    <row r="97" spans="1:15" ht="15.75" x14ac:dyDescent="0.25">
      <c r="A97" s="11"/>
      <c r="B97" s="40" t="s">
        <v>219</v>
      </c>
      <c r="C97" s="13">
        <v>180</v>
      </c>
      <c r="D97" s="13">
        <v>3.79</v>
      </c>
      <c r="E97" s="13">
        <v>7.84</v>
      </c>
      <c r="F97" s="13">
        <v>2.52</v>
      </c>
      <c r="G97" s="13">
        <f t="shared" si="27"/>
        <v>95.800000000000011</v>
      </c>
      <c r="H97" s="13">
        <v>3.5999999999999997E-2</v>
      </c>
      <c r="I97" s="13">
        <v>0.24</v>
      </c>
      <c r="J97" s="13">
        <v>2.15</v>
      </c>
      <c r="K97" s="13">
        <v>91.4</v>
      </c>
      <c r="L97" s="13">
        <v>96.4</v>
      </c>
      <c r="M97" s="13">
        <v>12</v>
      </c>
      <c r="N97" s="13">
        <v>23.6</v>
      </c>
      <c r="O97" s="14">
        <v>0.54</v>
      </c>
    </row>
    <row r="98" spans="1:15" ht="15.75" x14ac:dyDescent="0.25">
      <c r="A98" s="11" t="s">
        <v>112</v>
      </c>
      <c r="B98" s="12" t="s">
        <v>109</v>
      </c>
      <c r="C98" s="13">
        <v>180</v>
      </c>
      <c r="D98" s="13">
        <v>0.12</v>
      </c>
      <c r="E98" s="13">
        <v>0</v>
      </c>
      <c r="F98" s="13">
        <v>27.4</v>
      </c>
      <c r="G98" s="13">
        <f t="shared" si="27"/>
        <v>110.08</v>
      </c>
      <c r="H98" s="13">
        <v>0.02</v>
      </c>
      <c r="I98" s="13">
        <v>0.46</v>
      </c>
      <c r="J98" s="13">
        <v>0</v>
      </c>
      <c r="K98" s="13">
        <v>0.16</v>
      </c>
      <c r="L98" s="13">
        <v>12.6</v>
      </c>
      <c r="M98" s="13">
        <v>50.3</v>
      </c>
      <c r="N98" s="13">
        <v>8.9</v>
      </c>
      <c r="O98" s="14">
        <v>0.26100000000000001</v>
      </c>
    </row>
    <row r="99" spans="1:15" ht="15.75" x14ac:dyDescent="0.25">
      <c r="A99" s="11"/>
      <c r="B99" s="12" t="s">
        <v>86</v>
      </c>
      <c r="C99" s="13">
        <v>25</v>
      </c>
      <c r="D99" s="13">
        <v>1.6</v>
      </c>
      <c r="E99" s="13">
        <v>0.2</v>
      </c>
      <c r="F99" s="13">
        <v>10.4</v>
      </c>
      <c r="G99" s="13">
        <f t="shared" si="27"/>
        <v>49.8</v>
      </c>
      <c r="H99" s="13">
        <v>2.1999999999999999E-2</v>
      </c>
      <c r="I99" s="13">
        <v>0.01</v>
      </c>
      <c r="J99" s="13">
        <v>0</v>
      </c>
      <c r="K99" s="13">
        <v>0</v>
      </c>
      <c r="L99" s="13">
        <v>4.5999999999999996</v>
      </c>
      <c r="M99" s="13">
        <v>2.1</v>
      </c>
      <c r="N99" s="13">
        <v>21.2</v>
      </c>
      <c r="O99" s="14">
        <v>0.2</v>
      </c>
    </row>
    <row r="100" spans="1:15" ht="16.5" thickBot="1" x14ac:dyDescent="0.3">
      <c r="A100" s="11"/>
      <c r="B100" s="24" t="s">
        <v>92</v>
      </c>
      <c r="C100" s="25">
        <v>50</v>
      </c>
      <c r="D100" s="13">
        <v>2.6</v>
      </c>
      <c r="E100" s="13">
        <v>0.4</v>
      </c>
      <c r="F100" s="13">
        <v>16.399999999999999</v>
      </c>
      <c r="G100" s="13">
        <f t="shared" si="27"/>
        <v>79.599999999999994</v>
      </c>
      <c r="H100" s="13">
        <v>4.3999999999999997E-2</v>
      </c>
      <c r="I100" s="13">
        <v>0.02</v>
      </c>
      <c r="J100" s="13">
        <v>0</v>
      </c>
      <c r="K100" s="13">
        <v>0</v>
      </c>
      <c r="L100" s="13">
        <v>10</v>
      </c>
      <c r="M100" s="13">
        <v>5.6</v>
      </c>
      <c r="N100" s="13">
        <v>26</v>
      </c>
      <c r="O100" s="14">
        <v>0.44</v>
      </c>
    </row>
    <row r="101" spans="1:15" ht="16.5" thickBot="1" x14ac:dyDescent="0.3">
      <c r="A101" s="90" t="s">
        <v>20</v>
      </c>
      <c r="B101" s="91"/>
      <c r="C101" s="9">
        <f>SUM(C95:C100)</f>
        <v>805</v>
      </c>
      <c r="D101" s="9">
        <f t="shared" ref="D101:O101" si="28">SUM(D95:D100)</f>
        <v>38.46</v>
      </c>
      <c r="E101" s="9">
        <f t="shared" si="28"/>
        <v>40.98</v>
      </c>
      <c r="F101" s="9">
        <f t="shared" si="28"/>
        <v>128.25</v>
      </c>
      <c r="G101" s="9">
        <f t="shared" si="28"/>
        <v>1035.6600000000001</v>
      </c>
      <c r="H101" s="9">
        <f t="shared" si="28"/>
        <v>0.66200000000000014</v>
      </c>
      <c r="I101" s="9">
        <f t="shared" si="28"/>
        <v>0.79</v>
      </c>
      <c r="J101" s="9">
        <f t="shared" si="28"/>
        <v>20.409999999999997</v>
      </c>
      <c r="K101" s="9">
        <f t="shared" si="28"/>
        <v>381.16</v>
      </c>
      <c r="L101" s="9">
        <f t="shared" si="28"/>
        <v>466.30000000000007</v>
      </c>
      <c r="M101" s="9">
        <f t="shared" si="28"/>
        <v>141.82999999999998</v>
      </c>
      <c r="N101" s="9">
        <f t="shared" si="28"/>
        <v>505.92</v>
      </c>
      <c r="O101" s="10">
        <f t="shared" si="28"/>
        <v>6.5410000000000004</v>
      </c>
    </row>
    <row r="102" spans="1:15" ht="16.5" thickBot="1" x14ac:dyDescent="0.3">
      <c r="A102" s="28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30"/>
    </row>
    <row r="103" spans="1:15" ht="15.75" x14ac:dyDescent="0.25">
      <c r="A103" s="144" t="s">
        <v>53</v>
      </c>
      <c r="B103" s="145"/>
      <c r="C103" s="67">
        <f t="shared" ref="C103:O103" si="29">C86+C101</f>
        <v>1340</v>
      </c>
      <c r="D103" s="68">
        <f t="shared" si="29"/>
        <v>56.11</v>
      </c>
      <c r="E103" s="68">
        <f t="shared" si="29"/>
        <v>59.539999999999992</v>
      </c>
      <c r="F103" s="68">
        <f t="shared" si="29"/>
        <v>230.87</v>
      </c>
      <c r="G103" s="68">
        <f t="shared" si="29"/>
        <v>1683.78</v>
      </c>
      <c r="H103" s="67">
        <f t="shared" si="29"/>
        <v>0.8660000000000001</v>
      </c>
      <c r="I103" s="67">
        <f t="shared" si="29"/>
        <v>0.96800000000000008</v>
      </c>
      <c r="J103" s="67">
        <f t="shared" si="29"/>
        <v>42.429999999999993</v>
      </c>
      <c r="K103" s="67">
        <f t="shared" si="29"/>
        <v>541.86</v>
      </c>
      <c r="L103" s="67">
        <f t="shared" si="29"/>
        <v>720.55000000000007</v>
      </c>
      <c r="M103" s="67">
        <f t="shared" si="29"/>
        <v>180.63</v>
      </c>
      <c r="N103" s="67">
        <f t="shared" si="29"/>
        <v>720.36</v>
      </c>
      <c r="O103" s="69">
        <f t="shared" si="29"/>
        <v>10.843</v>
      </c>
    </row>
    <row r="104" spans="1:15" ht="16.5" thickBot="1" x14ac:dyDescent="0.3">
      <c r="A104" s="146" t="s">
        <v>54</v>
      </c>
      <c r="B104" s="147"/>
      <c r="C104" s="70">
        <f t="shared" ref="C104:O104" si="30">C93+C101</f>
        <v>1350</v>
      </c>
      <c r="D104" s="71">
        <f t="shared" si="30"/>
        <v>55.34</v>
      </c>
      <c r="E104" s="71">
        <f t="shared" si="30"/>
        <v>59.86</v>
      </c>
      <c r="F104" s="71">
        <f t="shared" si="30"/>
        <v>234.43</v>
      </c>
      <c r="G104" s="71">
        <f t="shared" si="30"/>
        <v>1697.8200000000002</v>
      </c>
      <c r="H104" s="70">
        <f t="shared" si="30"/>
        <v>0.84000000000000008</v>
      </c>
      <c r="I104" s="70">
        <f t="shared" si="30"/>
        <v>0.9840000000000001</v>
      </c>
      <c r="J104" s="70">
        <f t="shared" si="30"/>
        <v>42.309999999999995</v>
      </c>
      <c r="K104" s="70">
        <f t="shared" si="30"/>
        <v>540.96</v>
      </c>
      <c r="L104" s="77">
        <f t="shared" si="30"/>
        <v>720.05000000000007</v>
      </c>
      <c r="M104" s="70">
        <f t="shared" si="30"/>
        <v>180.51999999999998</v>
      </c>
      <c r="N104" s="70">
        <f t="shared" si="30"/>
        <v>720</v>
      </c>
      <c r="O104" s="72">
        <f t="shared" si="30"/>
        <v>10.811</v>
      </c>
    </row>
    <row r="105" spans="1:15" s="1" customFormat="1" ht="15.75" x14ac:dyDescent="0.25">
      <c r="A105" s="32"/>
      <c r="B105" s="32"/>
      <c r="C105" s="34"/>
      <c r="D105" s="33"/>
      <c r="E105" s="33"/>
      <c r="F105" s="33"/>
      <c r="G105" s="33"/>
      <c r="H105" s="33"/>
      <c r="I105" s="33"/>
      <c r="J105" s="33"/>
      <c r="K105" s="33"/>
      <c r="L105" s="33"/>
      <c r="M105" s="34"/>
      <c r="N105" s="34"/>
      <c r="O105" s="34"/>
    </row>
    <row r="106" spans="1:15" s="1" customFormat="1" ht="15.75" x14ac:dyDescent="0.25">
      <c r="A106" s="32"/>
      <c r="B106" s="32"/>
      <c r="C106" s="34"/>
      <c r="D106" s="33"/>
      <c r="E106" s="33"/>
      <c r="F106" s="33"/>
      <c r="G106" s="33"/>
      <c r="H106" s="33"/>
      <c r="I106" s="33"/>
      <c r="J106" s="33"/>
      <c r="K106" s="33"/>
      <c r="L106" s="33"/>
      <c r="M106" s="34"/>
      <c r="N106" s="34"/>
      <c r="O106" s="34"/>
    </row>
    <row r="107" spans="1:15" s="1" customFormat="1" x14ac:dyDescent="0.25">
      <c r="A107" s="87" t="s">
        <v>210</v>
      </c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</row>
    <row r="108" spans="1:15" s="1" customFormat="1" ht="15.75" x14ac:dyDescent="0.25">
      <c r="A108" s="32"/>
      <c r="B108" s="32"/>
      <c r="C108" s="34"/>
      <c r="D108" s="33"/>
      <c r="E108" s="33"/>
      <c r="F108" s="33"/>
      <c r="G108" s="33"/>
      <c r="H108" s="33"/>
      <c r="I108" s="33"/>
      <c r="J108" s="33"/>
      <c r="K108" s="33"/>
      <c r="L108" s="33"/>
      <c r="M108" s="34"/>
      <c r="N108" s="34"/>
      <c r="O108" s="34"/>
    </row>
    <row r="109" spans="1:15" s="1" customFormat="1" ht="15.75" x14ac:dyDescent="0.25">
      <c r="A109" s="151" t="s">
        <v>207</v>
      </c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</row>
    <row r="110" spans="1:15" s="1" customFormat="1" ht="16.5" thickBot="1" x14ac:dyDescent="0.3">
      <c r="A110" s="32"/>
      <c r="B110" s="32"/>
      <c r="C110" s="34"/>
      <c r="D110" s="33"/>
      <c r="E110" s="33"/>
      <c r="F110" s="33"/>
      <c r="G110" s="33"/>
      <c r="H110" s="33"/>
      <c r="I110" s="33"/>
      <c r="J110" s="33"/>
      <c r="K110" s="33"/>
      <c r="L110" s="33"/>
      <c r="M110" s="34"/>
      <c r="N110" s="34"/>
      <c r="O110" s="34"/>
    </row>
    <row r="111" spans="1:15" s="1" customFormat="1" x14ac:dyDescent="0.25">
      <c r="A111" s="98" t="s">
        <v>0</v>
      </c>
      <c r="B111" s="100" t="s">
        <v>1</v>
      </c>
      <c r="C111" s="102" t="s">
        <v>2</v>
      </c>
      <c r="D111" s="104" t="s">
        <v>3</v>
      </c>
      <c r="E111" s="105"/>
      <c r="F111" s="106"/>
      <c r="G111" s="102" t="s">
        <v>4</v>
      </c>
      <c r="H111" s="107" t="s">
        <v>5</v>
      </c>
      <c r="I111" s="107"/>
      <c r="J111" s="107"/>
      <c r="K111" s="107"/>
      <c r="L111" s="108" t="s">
        <v>6</v>
      </c>
      <c r="M111" s="109"/>
      <c r="N111" s="109"/>
      <c r="O111" s="110"/>
    </row>
    <row r="112" spans="1:15" ht="55.5" customHeight="1" thickBot="1" x14ac:dyDescent="0.3">
      <c r="A112" s="99"/>
      <c r="B112" s="101"/>
      <c r="C112" s="103"/>
      <c r="D112" s="35" t="s">
        <v>7</v>
      </c>
      <c r="E112" s="35" t="s">
        <v>8</v>
      </c>
      <c r="F112" s="35" t="s">
        <v>9</v>
      </c>
      <c r="G112" s="103"/>
      <c r="H112" s="36" t="s">
        <v>10</v>
      </c>
      <c r="I112" s="36" t="s">
        <v>16</v>
      </c>
      <c r="J112" s="36" t="s">
        <v>11</v>
      </c>
      <c r="K112" s="36" t="s">
        <v>17</v>
      </c>
      <c r="L112" s="37" t="s">
        <v>12</v>
      </c>
      <c r="M112" s="36" t="s">
        <v>13</v>
      </c>
      <c r="N112" s="36" t="s">
        <v>14</v>
      </c>
      <c r="O112" s="38" t="s">
        <v>15</v>
      </c>
    </row>
    <row r="113" spans="1:15" ht="15.75" x14ac:dyDescent="0.25">
      <c r="A113" s="84" t="s">
        <v>28</v>
      </c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6"/>
    </row>
    <row r="114" spans="1:15" ht="15.75" x14ac:dyDescent="0.25">
      <c r="A114" s="92" t="s">
        <v>47</v>
      </c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4"/>
    </row>
    <row r="115" spans="1:15" ht="31.5" x14ac:dyDescent="0.25">
      <c r="A115" s="39" t="s">
        <v>97</v>
      </c>
      <c r="B115" s="40" t="s">
        <v>214</v>
      </c>
      <c r="C115" s="41">
        <v>180</v>
      </c>
      <c r="D115" s="41">
        <v>16.399999999999999</v>
      </c>
      <c r="E115" s="41">
        <v>14.4</v>
      </c>
      <c r="F115" s="41">
        <v>27.16</v>
      </c>
      <c r="G115" s="41">
        <f>4*(D115+F115)+(E115*9)</f>
        <v>303.84000000000003</v>
      </c>
      <c r="H115" s="41">
        <v>0.33</v>
      </c>
      <c r="I115" s="41">
        <v>0.16</v>
      </c>
      <c r="J115" s="41">
        <v>24</v>
      </c>
      <c r="K115" s="41">
        <v>138.69999999999999</v>
      </c>
      <c r="L115" s="41">
        <v>71.099999999999994</v>
      </c>
      <c r="M115" s="41">
        <v>24.12</v>
      </c>
      <c r="N115" s="41">
        <v>169.3</v>
      </c>
      <c r="O115" s="42">
        <v>1.29</v>
      </c>
    </row>
    <row r="116" spans="1:15" ht="15.75" x14ac:dyDescent="0.25">
      <c r="A116" s="11"/>
      <c r="B116" s="12" t="s">
        <v>110</v>
      </c>
      <c r="C116" s="13">
        <v>100</v>
      </c>
      <c r="D116" s="13">
        <v>0.4</v>
      </c>
      <c r="E116" s="13">
        <v>0.4</v>
      </c>
      <c r="F116" s="13">
        <v>9.8000000000000007</v>
      </c>
      <c r="G116" s="13">
        <f t="shared" ref="G116" si="31">4*(D116+F116)+(9*E116)</f>
        <v>44.400000000000006</v>
      </c>
      <c r="H116" s="13">
        <v>4.5999999999999999E-2</v>
      </c>
      <c r="I116" s="13">
        <v>2.3E-2</v>
      </c>
      <c r="J116" s="13">
        <v>0.46</v>
      </c>
      <c r="K116" s="13">
        <v>0</v>
      </c>
      <c r="L116" s="13">
        <v>8.9700000000000006</v>
      </c>
      <c r="M116" s="13">
        <v>4.5</v>
      </c>
      <c r="N116" s="13">
        <v>24.8</v>
      </c>
      <c r="O116" s="14">
        <v>0.61</v>
      </c>
    </row>
    <row r="117" spans="1:15" ht="15.75" x14ac:dyDescent="0.25">
      <c r="A117" s="11"/>
      <c r="B117" s="12" t="s">
        <v>102</v>
      </c>
      <c r="C117" s="13">
        <v>90</v>
      </c>
      <c r="D117" s="25">
        <v>2.1</v>
      </c>
      <c r="E117" s="25">
        <v>2.2999999999999998</v>
      </c>
      <c r="F117" s="25">
        <v>20.86</v>
      </c>
      <c r="G117" s="13">
        <f>4*(D117+F117)+(9*E117)</f>
        <v>112.54</v>
      </c>
      <c r="H117" s="25">
        <v>0.06</v>
      </c>
      <c r="I117" s="25">
        <v>0.02</v>
      </c>
      <c r="J117" s="25">
        <v>2.0099999999999998</v>
      </c>
      <c r="K117" s="25">
        <v>1.2</v>
      </c>
      <c r="L117" s="25">
        <v>148</v>
      </c>
      <c r="M117" s="25">
        <v>30</v>
      </c>
      <c r="N117" s="25">
        <v>119.8</v>
      </c>
      <c r="O117" s="26">
        <v>3.4</v>
      </c>
    </row>
    <row r="118" spans="1:15" ht="15.75" x14ac:dyDescent="0.25">
      <c r="A118" s="11" t="s">
        <v>114</v>
      </c>
      <c r="B118" s="12" t="s">
        <v>84</v>
      </c>
      <c r="C118" s="13">
        <v>200</v>
      </c>
      <c r="D118" s="13">
        <v>0.05</v>
      </c>
      <c r="E118" s="13">
        <v>0.02</v>
      </c>
      <c r="F118" s="13">
        <v>9.32</v>
      </c>
      <c r="G118" s="13">
        <f t="shared" ref="G118" si="32">4*(D118+F118)+(9*E118)</f>
        <v>37.660000000000004</v>
      </c>
      <c r="H118" s="13">
        <v>0</v>
      </c>
      <c r="I118" s="13">
        <v>0</v>
      </c>
      <c r="J118" s="13">
        <v>0.02</v>
      </c>
      <c r="K118" s="13">
        <v>0</v>
      </c>
      <c r="L118" s="13">
        <v>8</v>
      </c>
      <c r="M118" s="13">
        <v>0.9</v>
      </c>
      <c r="N118" s="13">
        <v>1.6</v>
      </c>
      <c r="O118" s="14">
        <v>0.19</v>
      </c>
    </row>
    <row r="119" spans="1:15" ht="16.5" thickBot="1" x14ac:dyDescent="0.3">
      <c r="A119" s="11"/>
      <c r="B119" s="12" t="s">
        <v>86</v>
      </c>
      <c r="C119" s="13">
        <v>25</v>
      </c>
      <c r="D119" s="13">
        <v>1.6</v>
      </c>
      <c r="E119" s="13">
        <v>0.2</v>
      </c>
      <c r="F119" s="13">
        <v>10.4</v>
      </c>
      <c r="G119" s="13">
        <f t="shared" ref="G119" si="33">4*(D119+F119)+(9*E119)</f>
        <v>49.8</v>
      </c>
      <c r="H119" s="13">
        <v>2.1999999999999999E-2</v>
      </c>
      <c r="I119" s="13">
        <v>0.01</v>
      </c>
      <c r="J119" s="13">
        <v>0</v>
      </c>
      <c r="K119" s="13">
        <v>0</v>
      </c>
      <c r="L119" s="13">
        <v>4.5999999999999996</v>
      </c>
      <c r="M119" s="13">
        <v>2.1</v>
      </c>
      <c r="N119" s="13">
        <v>21.2</v>
      </c>
      <c r="O119" s="14">
        <v>0.2</v>
      </c>
    </row>
    <row r="120" spans="1:15" ht="16.5" thickBot="1" x14ac:dyDescent="0.3">
      <c r="A120" s="90" t="s">
        <v>20</v>
      </c>
      <c r="B120" s="91"/>
      <c r="C120" s="9">
        <f t="shared" ref="C120:O120" si="34">SUM(C115:C119)</f>
        <v>595</v>
      </c>
      <c r="D120" s="9">
        <f t="shared" si="34"/>
        <v>20.55</v>
      </c>
      <c r="E120" s="9">
        <f t="shared" si="34"/>
        <v>17.32</v>
      </c>
      <c r="F120" s="61">
        <f t="shared" si="34"/>
        <v>77.540000000000006</v>
      </c>
      <c r="G120" s="9">
        <f t="shared" si="34"/>
        <v>548.24</v>
      </c>
      <c r="H120" s="62">
        <f t="shared" si="34"/>
        <v>0.45800000000000002</v>
      </c>
      <c r="I120" s="9">
        <f t="shared" si="34"/>
        <v>0.21299999999999999</v>
      </c>
      <c r="J120" s="9">
        <f t="shared" si="34"/>
        <v>26.49</v>
      </c>
      <c r="K120" s="9">
        <f t="shared" si="34"/>
        <v>139.89999999999998</v>
      </c>
      <c r="L120" s="9">
        <f t="shared" si="34"/>
        <v>240.67</v>
      </c>
      <c r="M120" s="9">
        <f t="shared" si="34"/>
        <v>61.620000000000005</v>
      </c>
      <c r="N120" s="9">
        <f t="shared" si="34"/>
        <v>336.70000000000005</v>
      </c>
      <c r="O120" s="10">
        <f t="shared" si="34"/>
        <v>5.69</v>
      </c>
    </row>
    <row r="121" spans="1:15" ht="15.75" x14ac:dyDescent="0.25">
      <c r="A121" s="92" t="s">
        <v>48</v>
      </c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4"/>
    </row>
    <row r="122" spans="1:15" ht="15.75" x14ac:dyDescent="0.25">
      <c r="A122" s="11" t="s">
        <v>124</v>
      </c>
      <c r="B122" s="12" t="s">
        <v>118</v>
      </c>
      <c r="C122" s="13">
        <v>200</v>
      </c>
      <c r="D122" s="13">
        <v>5.62</v>
      </c>
      <c r="E122" s="13">
        <v>8.4</v>
      </c>
      <c r="F122" s="13">
        <v>25.9</v>
      </c>
      <c r="G122" s="13">
        <f>4*(D122+F122)+(9*E122)</f>
        <v>201.68</v>
      </c>
      <c r="H122" s="13">
        <v>0.1</v>
      </c>
      <c r="I122" s="13">
        <v>1.6E-2</v>
      </c>
      <c r="J122" s="13">
        <v>0</v>
      </c>
      <c r="K122" s="13">
        <v>82.9</v>
      </c>
      <c r="L122" s="13">
        <v>114.3</v>
      </c>
      <c r="M122" s="13">
        <v>49.2</v>
      </c>
      <c r="N122" s="13">
        <v>126.1</v>
      </c>
      <c r="O122" s="14">
        <v>1.37</v>
      </c>
    </row>
    <row r="123" spans="1:15" ht="15.75" x14ac:dyDescent="0.25">
      <c r="A123" s="11"/>
      <c r="B123" s="12" t="s">
        <v>249</v>
      </c>
      <c r="C123" s="13">
        <v>20</v>
      </c>
      <c r="D123" s="13">
        <v>5.46</v>
      </c>
      <c r="E123" s="13">
        <v>10.86</v>
      </c>
      <c r="F123" s="13">
        <v>13.38</v>
      </c>
      <c r="G123" s="13">
        <f>4*(D123+F123)+(E123*9)</f>
        <v>173.1</v>
      </c>
      <c r="H123" s="13">
        <v>1.6E-2</v>
      </c>
      <c r="I123" s="13">
        <v>0.02</v>
      </c>
      <c r="J123" s="13">
        <v>4.8</v>
      </c>
      <c r="K123" s="13">
        <v>37</v>
      </c>
      <c r="L123" s="13">
        <v>84.9</v>
      </c>
      <c r="M123" s="13">
        <v>0</v>
      </c>
      <c r="N123" s="13">
        <v>133.80000000000001</v>
      </c>
      <c r="O123" s="14">
        <v>0.1</v>
      </c>
    </row>
    <row r="124" spans="1:15" ht="15.75" x14ac:dyDescent="0.25">
      <c r="A124" s="11"/>
      <c r="B124" s="12" t="s">
        <v>250</v>
      </c>
      <c r="C124" s="49">
        <v>180</v>
      </c>
      <c r="D124" s="13">
        <v>0.2</v>
      </c>
      <c r="E124" s="13">
        <v>2</v>
      </c>
      <c r="F124" s="13">
        <v>11.48</v>
      </c>
      <c r="G124" s="13">
        <f t="shared" ref="G124:G126" si="35">4*(D124+F124)+(9*E124)</f>
        <v>64.72</v>
      </c>
      <c r="H124" s="13">
        <v>0.25</v>
      </c>
      <c r="I124" s="13">
        <v>0.14000000000000001</v>
      </c>
      <c r="J124" s="13">
        <v>21</v>
      </c>
      <c r="K124" s="13">
        <v>19.8</v>
      </c>
      <c r="L124" s="13">
        <v>23.05</v>
      </c>
      <c r="M124" s="13">
        <v>3.24</v>
      </c>
      <c r="N124" s="13">
        <v>9.7799999999999994</v>
      </c>
      <c r="O124" s="14">
        <v>3.21</v>
      </c>
    </row>
    <row r="125" spans="1:15" ht="15.75" x14ac:dyDescent="0.25">
      <c r="A125" s="11"/>
      <c r="B125" s="12" t="s">
        <v>110</v>
      </c>
      <c r="C125" s="13">
        <v>100</v>
      </c>
      <c r="D125" s="13">
        <v>0.4</v>
      </c>
      <c r="E125" s="13">
        <v>0.4</v>
      </c>
      <c r="F125" s="13">
        <v>9.8000000000000007</v>
      </c>
      <c r="G125" s="13">
        <f t="shared" si="35"/>
        <v>44.400000000000006</v>
      </c>
      <c r="H125" s="13">
        <v>4.5999999999999999E-2</v>
      </c>
      <c r="I125" s="13">
        <v>2.3E-2</v>
      </c>
      <c r="J125" s="13">
        <v>0.46</v>
      </c>
      <c r="K125" s="13">
        <v>0</v>
      </c>
      <c r="L125" s="13">
        <v>8.9700000000000006</v>
      </c>
      <c r="M125" s="13">
        <v>4.5</v>
      </c>
      <c r="N125" s="13">
        <v>24.6</v>
      </c>
      <c r="O125" s="14">
        <v>0.61</v>
      </c>
    </row>
    <row r="126" spans="1:15" ht="16.5" thickBot="1" x14ac:dyDescent="0.3">
      <c r="A126" s="11"/>
      <c r="B126" s="12" t="s">
        <v>86</v>
      </c>
      <c r="C126" s="13">
        <v>50</v>
      </c>
      <c r="D126" s="13">
        <v>3.2</v>
      </c>
      <c r="E126" s="13">
        <v>0.4</v>
      </c>
      <c r="F126" s="13">
        <v>20.8</v>
      </c>
      <c r="G126" s="13">
        <f t="shared" si="35"/>
        <v>99.6</v>
      </c>
      <c r="H126" s="13">
        <v>4.3999999999999997E-2</v>
      </c>
      <c r="I126" s="13">
        <v>0.02</v>
      </c>
      <c r="J126" s="13">
        <v>0</v>
      </c>
      <c r="K126" s="13">
        <v>0</v>
      </c>
      <c r="L126" s="13">
        <v>9.1999999999999993</v>
      </c>
      <c r="M126" s="13">
        <v>4.2</v>
      </c>
      <c r="N126" s="13">
        <v>42.4</v>
      </c>
      <c r="O126" s="14">
        <v>0.4</v>
      </c>
    </row>
    <row r="127" spans="1:15" ht="16.5" thickBot="1" x14ac:dyDescent="0.3">
      <c r="A127" s="90" t="s">
        <v>20</v>
      </c>
      <c r="B127" s="91"/>
      <c r="C127" s="9">
        <f>SUM(C122:C126)</f>
        <v>550</v>
      </c>
      <c r="D127" s="9">
        <f t="shared" ref="D127:O127" si="36">SUM(D122:D126)</f>
        <v>14.879999999999999</v>
      </c>
      <c r="E127" s="9">
        <f t="shared" si="36"/>
        <v>22.059999999999995</v>
      </c>
      <c r="F127" s="9">
        <f t="shared" si="36"/>
        <v>81.36</v>
      </c>
      <c r="G127" s="9">
        <f t="shared" si="36"/>
        <v>583.5</v>
      </c>
      <c r="H127" s="9">
        <f t="shared" si="36"/>
        <v>0.45599999999999996</v>
      </c>
      <c r="I127" s="9">
        <f t="shared" si="36"/>
        <v>0.219</v>
      </c>
      <c r="J127" s="9">
        <f t="shared" si="36"/>
        <v>26.26</v>
      </c>
      <c r="K127" s="9">
        <f t="shared" si="36"/>
        <v>139.70000000000002</v>
      </c>
      <c r="L127" s="9">
        <f t="shared" si="36"/>
        <v>240.42</v>
      </c>
      <c r="M127" s="9">
        <f t="shared" si="36"/>
        <v>61.140000000000008</v>
      </c>
      <c r="N127" s="9">
        <f t="shared" si="36"/>
        <v>336.67999999999995</v>
      </c>
      <c r="O127" s="10">
        <f t="shared" si="36"/>
        <v>5.69</v>
      </c>
    </row>
    <row r="128" spans="1:15" ht="15.75" x14ac:dyDescent="0.25">
      <c r="A128" s="92" t="s">
        <v>21</v>
      </c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4"/>
    </row>
    <row r="129" spans="1:15" ht="15.75" x14ac:dyDescent="0.25">
      <c r="A129" s="45" t="s">
        <v>125</v>
      </c>
      <c r="B129" s="46" t="s">
        <v>223</v>
      </c>
      <c r="C129" s="47">
        <v>260</v>
      </c>
      <c r="D129" s="47">
        <v>12.8</v>
      </c>
      <c r="E129" s="47">
        <v>11.65</v>
      </c>
      <c r="F129" s="47">
        <v>28.94</v>
      </c>
      <c r="G129" s="47">
        <f>4*(D129+F129)+(9*E129)</f>
        <v>271.81</v>
      </c>
      <c r="H129" s="47">
        <v>0.13</v>
      </c>
      <c r="I129" s="47">
        <v>4.9000000000000002E-2</v>
      </c>
      <c r="J129" s="47">
        <v>4</v>
      </c>
      <c r="K129" s="47">
        <v>164</v>
      </c>
      <c r="L129" s="47">
        <v>129.19999999999999</v>
      </c>
      <c r="M129" s="47">
        <v>58.9</v>
      </c>
      <c r="N129" s="47">
        <v>77.400000000000006</v>
      </c>
      <c r="O129" s="48">
        <v>1.04</v>
      </c>
    </row>
    <row r="130" spans="1:15" ht="15.75" x14ac:dyDescent="0.25">
      <c r="A130" s="11" t="s">
        <v>126</v>
      </c>
      <c r="B130" s="12" t="s">
        <v>222</v>
      </c>
      <c r="C130" s="13">
        <v>100</v>
      </c>
      <c r="D130" s="13">
        <v>16.38</v>
      </c>
      <c r="E130" s="13">
        <v>11.75</v>
      </c>
      <c r="F130" s="13">
        <v>28.16</v>
      </c>
      <c r="G130" s="13">
        <f t="shared" ref="G130:G134" si="37">4*(D130+F130)+(9*E130)</f>
        <v>283.90999999999997</v>
      </c>
      <c r="H130" s="13">
        <v>0.08</v>
      </c>
      <c r="I130" s="13">
        <v>0.41</v>
      </c>
      <c r="J130" s="13">
        <v>6</v>
      </c>
      <c r="K130" s="13">
        <v>121.9</v>
      </c>
      <c r="L130" s="13">
        <v>144.30000000000001</v>
      </c>
      <c r="M130" s="13">
        <v>19.3</v>
      </c>
      <c r="N130" s="13">
        <v>98.4</v>
      </c>
      <c r="O130" s="14">
        <v>2.0299999999999998</v>
      </c>
    </row>
    <row r="131" spans="1:15" ht="15.75" x14ac:dyDescent="0.25">
      <c r="A131" s="11" t="s">
        <v>190</v>
      </c>
      <c r="B131" s="12" t="s">
        <v>185</v>
      </c>
      <c r="C131" s="13">
        <v>180</v>
      </c>
      <c r="D131" s="13">
        <v>7.47</v>
      </c>
      <c r="E131" s="13">
        <v>10.86</v>
      </c>
      <c r="F131" s="13">
        <v>34</v>
      </c>
      <c r="G131" s="13">
        <f t="shared" si="37"/>
        <v>263.62</v>
      </c>
      <c r="H131" s="13">
        <v>0.08</v>
      </c>
      <c r="I131" s="13">
        <v>0.26</v>
      </c>
      <c r="J131" s="13">
        <v>6.06</v>
      </c>
      <c r="K131" s="13">
        <v>114</v>
      </c>
      <c r="L131" s="13">
        <v>143.30000000000001</v>
      </c>
      <c r="M131" s="13">
        <v>26.36</v>
      </c>
      <c r="N131" s="13">
        <v>130.69999999999999</v>
      </c>
      <c r="O131" s="14">
        <v>1.39</v>
      </c>
    </row>
    <row r="132" spans="1:15" ht="15.75" x14ac:dyDescent="0.25">
      <c r="A132" s="11" t="s">
        <v>105</v>
      </c>
      <c r="B132" s="12" t="s">
        <v>121</v>
      </c>
      <c r="C132" s="13">
        <v>180</v>
      </c>
      <c r="D132" s="13">
        <v>0.125</v>
      </c>
      <c r="E132" s="13">
        <v>2</v>
      </c>
      <c r="F132" s="13">
        <v>35.15</v>
      </c>
      <c r="G132" s="13">
        <f t="shared" si="37"/>
        <v>159.1</v>
      </c>
      <c r="H132" s="13">
        <v>0.03</v>
      </c>
      <c r="I132" s="13">
        <v>0</v>
      </c>
      <c r="J132" s="13">
        <v>0</v>
      </c>
      <c r="K132" s="13">
        <v>0</v>
      </c>
      <c r="L132" s="13">
        <v>48.6</v>
      </c>
      <c r="M132" s="13">
        <v>6.78</v>
      </c>
      <c r="N132" s="13">
        <v>29.67</v>
      </c>
      <c r="O132" s="14">
        <v>6.2E-2</v>
      </c>
    </row>
    <row r="133" spans="1:15" ht="15.75" x14ac:dyDescent="0.25">
      <c r="A133" s="11"/>
      <c r="B133" s="12" t="s">
        <v>86</v>
      </c>
      <c r="C133" s="13">
        <v>25</v>
      </c>
      <c r="D133" s="13">
        <v>1.6</v>
      </c>
      <c r="E133" s="13">
        <v>0.2</v>
      </c>
      <c r="F133" s="13">
        <v>10.4</v>
      </c>
      <c r="G133" s="13">
        <f t="shared" si="37"/>
        <v>49.8</v>
      </c>
      <c r="H133" s="13">
        <v>2.1999999999999999E-2</v>
      </c>
      <c r="I133" s="13">
        <v>0.01</v>
      </c>
      <c r="J133" s="13">
        <v>0</v>
      </c>
      <c r="K133" s="13">
        <v>0</v>
      </c>
      <c r="L133" s="13">
        <v>4.5999999999999996</v>
      </c>
      <c r="M133" s="13">
        <v>2.1</v>
      </c>
      <c r="N133" s="13">
        <v>21.2</v>
      </c>
      <c r="O133" s="14">
        <v>0.2</v>
      </c>
    </row>
    <row r="134" spans="1:15" ht="16.5" thickBot="1" x14ac:dyDescent="0.3">
      <c r="A134" s="11"/>
      <c r="B134" s="24" t="s">
        <v>92</v>
      </c>
      <c r="C134" s="25">
        <v>50</v>
      </c>
      <c r="D134" s="13">
        <v>2.6</v>
      </c>
      <c r="E134" s="13">
        <v>0.4</v>
      </c>
      <c r="F134" s="13">
        <v>16.399999999999999</v>
      </c>
      <c r="G134" s="13">
        <f t="shared" si="37"/>
        <v>79.599999999999994</v>
      </c>
      <c r="H134" s="13">
        <v>4.3999999999999997E-2</v>
      </c>
      <c r="I134" s="13">
        <v>0.02</v>
      </c>
      <c r="J134" s="13">
        <v>0</v>
      </c>
      <c r="K134" s="13">
        <v>0</v>
      </c>
      <c r="L134" s="13">
        <v>10</v>
      </c>
      <c r="M134" s="13">
        <v>5.6</v>
      </c>
      <c r="N134" s="13">
        <v>26</v>
      </c>
      <c r="O134" s="14">
        <v>0.44</v>
      </c>
    </row>
    <row r="135" spans="1:15" ht="16.5" thickBot="1" x14ac:dyDescent="0.3">
      <c r="A135" s="90" t="s">
        <v>20</v>
      </c>
      <c r="B135" s="91"/>
      <c r="C135" s="9">
        <f t="shared" ref="C135:O135" si="38">SUM(C129:C134)</f>
        <v>795</v>
      </c>
      <c r="D135" s="75">
        <f t="shared" si="38"/>
        <v>40.975000000000001</v>
      </c>
      <c r="E135" s="9">
        <f t="shared" si="38"/>
        <v>36.86</v>
      </c>
      <c r="F135" s="9">
        <f t="shared" si="38"/>
        <v>153.05000000000001</v>
      </c>
      <c r="G135" s="9">
        <f t="shared" si="38"/>
        <v>1107.8399999999999</v>
      </c>
      <c r="H135" s="9">
        <f t="shared" si="38"/>
        <v>0.38600000000000007</v>
      </c>
      <c r="I135" s="9">
        <f t="shared" si="38"/>
        <v>0.749</v>
      </c>
      <c r="J135" s="9">
        <f t="shared" si="38"/>
        <v>16.059999999999999</v>
      </c>
      <c r="K135" s="9">
        <f t="shared" si="38"/>
        <v>399.9</v>
      </c>
      <c r="L135" s="9">
        <f t="shared" si="38"/>
        <v>480.00000000000006</v>
      </c>
      <c r="M135" s="9">
        <f t="shared" si="38"/>
        <v>119.03999999999999</v>
      </c>
      <c r="N135" s="9">
        <f t="shared" si="38"/>
        <v>383.37</v>
      </c>
      <c r="O135" s="10">
        <f t="shared" si="38"/>
        <v>5.1620000000000008</v>
      </c>
    </row>
    <row r="136" spans="1:15" ht="16.5" thickBot="1" x14ac:dyDescent="0.3">
      <c r="A136" s="28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30"/>
    </row>
    <row r="137" spans="1:15" ht="15.75" x14ac:dyDescent="0.25">
      <c r="A137" s="144" t="s">
        <v>55</v>
      </c>
      <c r="B137" s="145"/>
      <c r="C137" s="67">
        <f t="shared" ref="C137:O137" si="39">C120+C135</f>
        <v>1390</v>
      </c>
      <c r="D137" s="78">
        <f t="shared" si="39"/>
        <v>61.525000000000006</v>
      </c>
      <c r="E137" s="68">
        <f t="shared" si="39"/>
        <v>54.18</v>
      </c>
      <c r="F137" s="68">
        <f t="shared" si="39"/>
        <v>230.59000000000003</v>
      </c>
      <c r="G137" s="68">
        <f t="shared" si="39"/>
        <v>1656.08</v>
      </c>
      <c r="H137" s="67">
        <f t="shared" si="39"/>
        <v>0.84400000000000008</v>
      </c>
      <c r="I137" s="67">
        <f t="shared" si="39"/>
        <v>0.96199999999999997</v>
      </c>
      <c r="J137" s="67">
        <f t="shared" si="39"/>
        <v>42.55</v>
      </c>
      <c r="K137" s="79">
        <f t="shared" si="39"/>
        <v>539.79999999999995</v>
      </c>
      <c r="L137" s="67">
        <f t="shared" si="39"/>
        <v>720.67000000000007</v>
      </c>
      <c r="M137" s="67">
        <f t="shared" si="39"/>
        <v>180.66</v>
      </c>
      <c r="N137" s="67">
        <f t="shared" si="39"/>
        <v>720.07</v>
      </c>
      <c r="O137" s="69">
        <f t="shared" si="39"/>
        <v>10.852</v>
      </c>
    </row>
    <row r="138" spans="1:15" ht="16.5" thickBot="1" x14ac:dyDescent="0.3">
      <c r="A138" s="146" t="s">
        <v>56</v>
      </c>
      <c r="B138" s="147"/>
      <c r="C138" s="70">
        <f t="shared" ref="C138:O138" si="40">C127+C135</f>
        <v>1345</v>
      </c>
      <c r="D138" s="76">
        <f t="shared" si="40"/>
        <v>55.855000000000004</v>
      </c>
      <c r="E138" s="71">
        <f t="shared" si="40"/>
        <v>58.919999999999995</v>
      </c>
      <c r="F138" s="71">
        <f t="shared" si="40"/>
        <v>234.41000000000003</v>
      </c>
      <c r="G138" s="71">
        <f t="shared" si="40"/>
        <v>1691.34</v>
      </c>
      <c r="H138" s="70">
        <f t="shared" si="40"/>
        <v>0.84200000000000008</v>
      </c>
      <c r="I138" s="70">
        <f t="shared" si="40"/>
        <v>0.96799999999999997</v>
      </c>
      <c r="J138" s="70">
        <f t="shared" si="40"/>
        <v>42.32</v>
      </c>
      <c r="K138" s="70">
        <f t="shared" si="40"/>
        <v>539.6</v>
      </c>
      <c r="L138" s="70">
        <f t="shared" si="40"/>
        <v>720.42000000000007</v>
      </c>
      <c r="M138" s="70">
        <f t="shared" si="40"/>
        <v>180.18</v>
      </c>
      <c r="N138" s="70">
        <f t="shared" si="40"/>
        <v>720.05</v>
      </c>
      <c r="O138" s="72">
        <f t="shared" si="40"/>
        <v>10.852</v>
      </c>
    </row>
    <row r="139" spans="1:15" s="1" customFormat="1" ht="15.75" x14ac:dyDescent="0.25">
      <c r="A139" s="32"/>
      <c r="B139" s="32"/>
      <c r="C139" s="34"/>
      <c r="D139" s="33"/>
      <c r="E139" s="33"/>
      <c r="F139" s="33"/>
      <c r="G139" s="33"/>
      <c r="H139" s="34"/>
      <c r="I139" s="34"/>
      <c r="J139" s="34"/>
      <c r="K139" s="34"/>
      <c r="L139" s="34"/>
      <c r="M139" s="34"/>
      <c r="N139" s="34"/>
      <c r="O139" s="34"/>
    </row>
    <row r="140" spans="1:15" s="1" customFormat="1" x14ac:dyDescent="0.25">
      <c r="A140" s="87" t="s">
        <v>210</v>
      </c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</row>
    <row r="141" spans="1:15" s="1" customFormat="1" ht="15.75" x14ac:dyDescent="0.25">
      <c r="A141" s="32"/>
      <c r="B141" s="32"/>
      <c r="C141" s="34"/>
      <c r="D141" s="33"/>
      <c r="E141" s="33"/>
      <c r="F141" s="33"/>
      <c r="G141" s="33"/>
      <c r="H141" s="34"/>
      <c r="I141" s="34"/>
      <c r="J141" s="34"/>
      <c r="K141" s="34"/>
      <c r="L141" s="34"/>
      <c r="M141" s="34"/>
      <c r="N141" s="34"/>
      <c r="O141" s="34"/>
    </row>
    <row r="142" spans="1:15" s="1" customFormat="1" ht="15.75" x14ac:dyDescent="0.25">
      <c r="A142" s="151" t="s">
        <v>207</v>
      </c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</row>
    <row r="143" spans="1:15" s="1" customFormat="1" ht="16.5" thickBot="1" x14ac:dyDescent="0.3">
      <c r="A143" s="32"/>
      <c r="B143" s="32"/>
      <c r="C143" s="34"/>
      <c r="D143" s="33"/>
      <c r="E143" s="33"/>
      <c r="F143" s="33"/>
      <c r="G143" s="33"/>
      <c r="H143" s="34"/>
      <c r="I143" s="34"/>
      <c r="J143" s="34"/>
      <c r="K143" s="34"/>
      <c r="L143" s="34"/>
      <c r="M143" s="34"/>
      <c r="N143" s="34"/>
      <c r="O143" s="34"/>
    </row>
    <row r="144" spans="1:15" s="1" customFormat="1" ht="15" customHeight="1" x14ac:dyDescent="0.25">
      <c r="A144" s="98" t="s">
        <v>0</v>
      </c>
      <c r="B144" s="100" t="s">
        <v>1</v>
      </c>
      <c r="C144" s="102" t="s">
        <v>2</v>
      </c>
      <c r="D144" s="104" t="s">
        <v>3</v>
      </c>
      <c r="E144" s="105"/>
      <c r="F144" s="106"/>
      <c r="G144" s="102" t="s">
        <v>4</v>
      </c>
      <c r="H144" s="107" t="s">
        <v>5</v>
      </c>
      <c r="I144" s="107"/>
      <c r="J144" s="107"/>
      <c r="K144" s="107"/>
      <c r="L144" s="108" t="s">
        <v>6</v>
      </c>
      <c r="M144" s="109"/>
      <c r="N144" s="109"/>
      <c r="O144" s="110"/>
    </row>
    <row r="145" spans="1:15" ht="51.75" customHeight="1" thickBot="1" x14ac:dyDescent="0.3">
      <c r="A145" s="99"/>
      <c r="B145" s="101"/>
      <c r="C145" s="103"/>
      <c r="D145" s="35" t="s">
        <v>7</v>
      </c>
      <c r="E145" s="35" t="s">
        <v>8</v>
      </c>
      <c r="F145" s="35" t="s">
        <v>9</v>
      </c>
      <c r="G145" s="103"/>
      <c r="H145" s="36" t="s">
        <v>10</v>
      </c>
      <c r="I145" s="36" t="s">
        <v>16</v>
      </c>
      <c r="J145" s="36" t="s">
        <v>11</v>
      </c>
      <c r="K145" s="36" t="s">
        <v>17</v>
      </c>
      <c r="L145" s="37" t="s">
        <v>12</v>
      </c>
      <c r="M145" s="36" t="s">
        <v>13</v>
      </c>
      <c r="N145" s="36" t="s">
        <v>14</v>
      </c>
      <c r="O145" s="38" t="s">
        <v>15</v>
      </c>
    </row>
    <row r="146" spans="1:15" ht="15.75" x14ac:dyDescent="0.25">
      <c r="A146" s="84" t="s">
        <v>29</v>
      </c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6"/>
    </row>
    <row r="147" spans="1:15" ht="15.75" x14ac:dyDescent="0.25">
      <c r="A147" s="92" t="s">
        <v>47</v>
      </c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4"/>
    </row>
    <row r="148" spans="1:15" ht="15.75" x14ac:dyDescent="0.25">
      <c r="A148" s="11" t="s">
        <v>116</v>
      </c>
      <c r="B148" s="12" t="s">
        <v>177</v>
      </c>
      <c r="C148" s="49">
        <v>100</v>
      </c>
      <c r="D148" s="13">
        <v>14.7</v>
      </c>
      <c r="E148" s="13">
        <v>15.52</v>
      </c>
      <c r="F148" s="13">
        <v>32.19</v>
      </c>
      <c r="G148" s="13">
        <f t="shared" ref="G148:G149" si="41">4*(D148+F148)+(9*E148)</f>
        <v>327.24</v>
      </c>
      <c r="H148" s="13">
        <v>6.2E-2</v>
      </c>
      <c r="I148" s="13">
        <v>0.13</v>
      </c>
      <c r="J148" s="13">
        <v>7.56</v>
      </c>
      <c r="K148" s="13">
        <v>164.1</v>
      </c>
      <c r="L148" s="13">
        <v>179.9</v>
      </c>
      <c r="M148" s="13">
        <v>32.200000000000003</v>
      </c>
      <c r="N148" s="13">
        <v>189.7</v>
      </c>
      <c r="O148" s="14">
        <v>1.9</v>
      </c>
    </row>
    <row r="149" spans="1:15" ht="15.75" x14ac:dyDescent="0.25">
      <c r="A149" s="11" t="s">
        <v>104</v>
      </c>
      <c r="B149" s="12" t="s">
        <v>251</v>
      </c>
      <c r="C149" s="49">
        <v>180</v>
      </c>
      <c r="D149" s="13">
        <v>7.4</v>
      </c>
      <c r="E149" s="13">
        <v>9.1999999999999993</v>
      </c>
      <c r="F149" s="13">
        <v>31.49</v>
      </c>
      <c r="G149" s="13">
        <f t="shared" si="41"/>
        <v>238.36</v>
      </c>
      <c r="H149" s="13">
        <v>0.04</v>
      </c>
      <c r="I149" s="13">
        <v>0.44</v>
      </c>
      <c r="J149" s="13">
        <v>1.07</v>
      </c>
      <c r="K149" s="13">
        <v>83.2</v>
      </c>
      <c r="L149" s="13">
        <v>62.73</v>
      </c>
      <c r="M149" s="13">
        <v>10.5</v>
      </c>
      <c r="N149" s="13">
        <v>45.62</v>
      </c>
      <c r="O149" s="14">
        <v>1.53</v>
      </c>
    </row>
    <row r="150" spans="1:15" ht="15.75" x14ac:dyDescent="0.25">
      <c r="A150" s="11" t="s">
        <v>133</v>
      </c>
      <c r="B150" s="12" t="s">
        <v>178</v>
      </c>
      <c r="C150" s="13">
        <v>10</v>
      </c>
      <c r="D150" s="13">
        <v>0.2</v>
      </c>
      <c r="E150" s="13">
        <v>2.92</v>
      </c>
      <c r="F150" s="13">
        <v>18.760000000000002</v>
      </c>
      <c r="G150" s="13">
        <f t="shared" ref="G150:G151" si="42">4*(D150+F150)+(9*E150)</f>
        <v>102.12</v>
      </c>
      <c r="H150" s="13">
        <v>0.05</v>
      </c>
      <c r="I150" s="13">
        <v>0.02</v>
      </c>
      <c r="J150" s="13">
        <v>0</v>
      </c>
      <c r="K150" s="13">
        <v>28.8</v>
      </c>
      <c r="L150" s="13">
        <v>35.5</v>
      </c>
      <c r="M150" s="13">
        <v>1.2</v>
      </c>
      <c r="N150" s="13">
        <v>29</v>
      </c>
      <c r="O150" s="14">
        <v>0</v>
      </c>
    </row>
    <row r="151" spans="1:15" ht="15.75" x14ac:dyDescent="0.25">
      <c r="A151" s="11" t="s">
        <v>114</v>
      </c>
      <c r="B151" s="12" t="s">
        <v>84</v>
      </c>
      <c r="C151" s="13">
        <v>200</v>
      </c>
      <c r="D151" s="13">
        <v>0.05</v>
      </c>
      <c r="E151" s="13">
        <v>0.02</v>
      </c>
      <c r="F151" s="13">
        <v>9.32</v>
      </c>
      <c r="G151" s="13">
        <f t="shared" si="42"/>
        <v>37.660000000000004</v>
      </c>
      <c r="H151" s="13">
        <v>0</v>
      </c>
      <c r="I151" s="13">
        <v>0</v>
      </c>
      <c r="J151" s="13">
        <v>0.02</v>
      </c>
      <c r="K151" s="13">
        <v>0</v>
      </c>
      <c r="L151" s="13">
        <v>8</v>
      </c>
      <c r="M151" s="13">
        <v>0.9</v>
      </c>
      <c r="N151" s="13">
        <v>1.6</v>
      </c>
      <c r="O151" s="14">
        <v>0.19</v>
      </c>
    </row>
    <row r="152" spans="1:15" s="1" customFormat="1" ht="15.75" x14ac:dyDescent="0.25">
      <c r="A152" s="23"/>
      <c r="B152" s="12" t="s">
        <v>86</v>
      </c>
      <c r="C152" s="13">
        <v>25</v>
      </c>
      <c r="D152" s="13">
        <v>1.6</v>
      </c>
      <c r="E152" s="13">
        <v>0.2</v>
      </c>
      <c r="F152" s="13">
        <v>10.4</v>
      </c>
      <c r="G152" s="13">
        <f>4*(D152+F152)+(E152*9)</f>
        <v>49.8</v>
      </c>
      <c r="H152" s="13">
        <v>2.1999999999999999E-2</v>
      </c>
      <c r="I152" s="13">
        <v>0.01</v>
      </c>
      <c r="J152" s="13">
        <v>0</v>
      </c>
      <c r="K152" s="13">
        <v>0</v>
      </c>
      <c r="L152" s="13">
        <v>4.5999999999999996</v>
      </c>
      <c r="M152" s="13">
        <v>2.1</v>
      </c>
      <c r="N152" s="13">
        <v>21.2</v>
      </c>
      <c r="O152" s="14">
        <v>0.2</v>
      </c>
    </row>
    <row r="153" spans="1:15" ht="16.5" thickBot="1" x14ac:dyDescent="0.3">
      <c r="A153" s="23"/>
      <c r="B153" s="24" t="s">
        <v>92</v>
      </c>
      <c r="C153" s="25">
        <v>25</v>
      </c>
      <c r="D153" s="13">
        <v>1.3</v>
      </c>
      <c r="E153" s="13">
        <v>0.2</v>
      </c>
      <c r="F153" s="13">
        <v>8.1999999999999993</v>
      </c>
      <c r="G153" s="13">
        <f t="shared" ref="G153" si="43">4*(D153+F153)+(E153*9)</f>
        <v>39.799999999999997</v>
      </c>
      <c r="H153" s="13">
        <v>2.1999999999999999E-2</v>
      </c>
      <c r="I153" s="13">
        <v>0.01</v>
      </c>
      <c r="J153" s="13">
        <v>0</v>
      </c>
      <c r="K153" s="13">
        <v>0</v>
      </c>
      <c r="L153" s="13">
        <v>5</v>
      </c>
      <c r="M153" s="13">
        <v>2.8</v>
      </c>
      <c r="N153" s="13">
        <v>13</v>
      </c>
      <c r="O153" s="14">
        <v>0.22</v>
      </c>
    </row>
    <row r="154" spans="1:15" ht="16.5" thickBot="1" x14ac:dyDescent="0.3">
      <c r="A154" s="90" t="s">
        <v>20</v>
      </c>
      <c r="B154" s="91"/>
      <c r="C154" s="9">
        <f t="shared" ref="C154:O154" si="44">SUM(C148:C153)</f>
        <v>540</v>
      </c>
      <c r="D154" s="9">
        <f t="shared" si="44"/>
        <v>25.250000000000004</v>
      </c>
      <c r="E154" s="9">
        <f t="shared" si="44"/>
        <v>28.06</v>
      </c>
      <c r="F154" s="61">
        <f t="shared" si="44"/>
        <v>110.36</v>
      </c>
      <c r="G154" s="9">
        <f t="shared" si="44"/>
        <v>794.9799999999999</v>
      </c>
      <c r="H154" s="62">
        <f t="shared" si="44"/>
        <v>0.19600000000000001</v>
      </c>
      <c r="I154" s="9">
        <f t="shared" si="44"/>
        <v>0.6100000000000001</v>
      </c>
      <c r="J154" s="9">
        <f t="shared" si="44"/>
        <v>8.6499999999999986</v>
      </c>
      <c r="K154" s="9">
        <f t="shared" si="44"/>
        <v>276.10000000000002</v>
      </c>
      <c r="L154" s="9">
        <f t="shared" si="44"/>
        <v>295.73</v>
      </c>
      <c r="M154" s="9">
        <f t="shared" si="44"/>
        <v>49.7</v>
      </c>
      <c r="N154" s="9">
        <f t="shared" si="44"/>
        <v>300.12</v>
      </c>
      <c r="O154" s="10">
        <f t="shared" si="44"/>
        <v>4.04</v>
      </c>
    </row>
    <row r="155" spans="1:15" ht="15.75" x14ac:dyDescent="0.25">
      <c r="A155" s="92" t="s">
        <v>48</v>
      </c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4"/>
    </row>
    <row r="156" spans="1:15" ht="15.75" x14ac:dyDescent="0.25">
      <c r="A156" s="11" t="s">
        <v>182</v>
      </c>
      <c r="B156" s="12" t="s">
        <v>179</v>
      </c>
      <c r="C156" s="49">
        <v>180</v>
      </c>
      <c r="D156" s="13">
        <v>17.39</v>
      </c>
      <c r="E156" s="13">
        <v>18.16</v>
      </c>
      <c r="F156" s="13">
        <v>21.34</v>
      </c>
      <c r="G156" s="13">
        <f>4*(D156+F156)+(9*E156)</f>
        <v>318.36</v>
      </c>
      <c r="H156" s="13">
        <v>0.06</v>
      </c>
      <c r="I156" s="13">
        <v>0.53</v>
      </c>
      <c r="J156" s="13">
        <v>5.84</v>
      </c>
      <c r="K156" s="13">
        <v>109.95</v>
      </c>
      <c r="L156" s="13">
        <v>158.6</v>
      </c>
      <c r="M156" s="13">
        <v>22.75</v>
      </c>
      <c r="N156" s="13">
        <v>168.5</v>
      </c>
      <c r="O156" s="14">
        <v>0.56000000000000005</v>
      </c>
    </row>
    <row r="157" spans="1:15" ht="15.75" x14ac:dyDescent="0.25">
      <c r="A157" s="11"/>
      <c r="B157" s="12" t="s">
        <v>180</v>
      </c>
      <c r="C157" s="13">
        <v>25</v>
      </c>
      <c r="D157" s="13">
        <v>0.21</v>
      </c>
      <c r="E157" s="13">
        <v>0.1</v>
      </c>
      <c r="F157" s="13">
        <v>12.8</v>
      </c>
      <c r="G157" s="13">
        <f t="shared" ref="G157:G159" si="45">4*(D157+F157)+(9*E157)</f>
        <v>52.940000000000005</v>
      </c>
      <c r="H157" s="13">
        <v>0.02</v>
      </c>
      <c r="I157" s="13">
        <v>0.02</v>
      </c>
      <c r="J157" s="13">
        <v>2</v>
      </c>
      <c r="K157" s="13">
        <v>24</v>
      </c>
      <c r="L157" s="13">
        <v>29.9</v>
      </c>
      <c r="M157" s="13">
        <v>4.2</v>
      </c>
      <c r="N157" s="13">
        <v>21.6</v>
      </c>
      <c r="O157" s="14">
        <v>0.24</v>
      </c>
    </row>
    <row r="158" spans="1:15" ht="15.75" x14ac:dyDescent="0.25">
      <c r="A158" s="11" t="s">
        <v>183</v>
      </c>
      <c r="B158" s="12" t="s">
        <v>181</v>
      </c>
      <c r="C158" s="13">
        <v>75</v>
      </c>
      <c r="D158" s="13">
        <v>5.6</v>
      </c>
      <c r="E158" s="13">
        <v>9.5500000000000007</v>
      </c>
      <c r="F158" s="13">
        <v>48.73</v>
      </c>
      <c r="G158" s="13">
        <f t="shared" si="45"/>
        <v>303.27</v>
      </c>
      <c r="H158" s="13">
        <v>6.9000000000000006E-2</v>
      </c>
      <c r="I158" s="13">
        <v>4.5999999999999999E-2</v>
      </c>
      <c r="J158" s="13">
        <v>0.69</v>
      </c>
      <c r="K158" s="13">
        <v>139.9</v>
      </c>
      <c r="L158" s="13">
        <v>89.7</v>
      </c>
      <c r="M158" s="13">
        <v>16.5</v>
      </c>
      <c r="N158" s="13">
        <v>82.98</v>
      </c>
      <c r="O158" s="14">
        <v>2.5299999999999998</v>
      </c>
    </row>
    <row r="159" spans="1:15" ht="15.75" x14ac:dyDescent="0.25">
      <c r="A159" s="11" t="s">
        <v>114</v>
      </c>
      <c r="B159" s="12" t="s">
        <v>84</v>
      </c>
      <c r="C159" s="13">
        <v>200</v>
      </c>
      <c r="D159" s="13">
        <v>0.05</v>
      </c>
      <c r="E159" s="13">
        <v>0.02</v>
      </c>
      <c r="F159" s="13">
        <v>9.32</v>
      </c>
      <c r="G159" s="13">
        <f t="shared" si="45"/>
        <v>37.660000000000004</v>
      </c>
      <c r="H159" s="13">
        <v>0</v>
      </c>
      <c r="I159" s="13">
        <v>0</v>
      </c>
      <c r="J159" s="13">
        <v>0.02</v>
      </c>
      <c r="K159" s="13">
        <v>0</v>
      </c>
      <c r="L159" s="13">
        <v>8</v>
      </c>
      <c r="M159" s="13">
        <v>0.9</v>
      </c>
      <c r="N159" s="13">
        <v>1.6</v>
      </c>
      <c r="O159" s="14">
        <v>0.19</v>
      </c>
    </row>
    <row r="160" spans="1:15" ht="16.5" thickBot="1" x14ac:dyDescent="0.3">
      <c r="A160" s="23"/>
      <c r="B160" s="24" t="s">
        <v>92</v>
      </c>
      <c r="C160" s="25">
        <v>50</v>
      </c>
      <c r="D160" s="13">
        <v>2.6</v>
      </c>
      <c r="E160" s="13">
        <v>0.4</v>
      </c>
      <c r="F160" s="13">
        <v>16.399999999999999</v>
      </c>
      <c r="G160" s="13">
        <f t="shared" ref="G160" si="46">4*(D160+F160)+(E160*9)</f>
        <v>79.599999999999994</v>
      </c>
      <c r="H160" s="13">
        <v>4.3999999999999997E-2</v>
      </c>
      <c r="I160" s="13">
        <v>0.02</v>
      </c>
      <c r="J160" s="13">
        <v>0</v>
      </c>
      <c r="K160" s="13">
        <v>0</v>
      </c>
      <c r="L160" s="13">
        <v>10</v>
      </c>
      <c r="M160" s="13">
        <v>5.6</v>
      </c>
      <c r="N160" s="13">
        <v>26</v>
      </c>
      <c r="O160" s="14">
        <v>0.44</v>
      </c>
    </row>
    <row r="161" spans="1:15" ht="16.5" thickBot="1" x14ac:dyDescent="0.3">
      <c r="A161" s="90" t="s">
        <v>20</v>
      </c>
      <c r="B161" s="91"/>
      <c r="C161" s="9">
        <f t="shared" ref="C161:O161" si="47">SUM(C156:C160)</f>
        <v>530</v>
      </c>
      <c r="D161" s="9">
        <f t="shared" si="47"/>
        <v>25.850000000000005</v>
      </c>
      <c r="E161" s="9">
        <f t="shared" si="47"/>
        <v>28.23</v>
      </c>
      <c r="F161" s="9">
        <f t="shared" si="47"/>
        <v>108.59</v>
      </c>
      <c r="G161" s="9">
        <f t="shared" si="47"/>
        <v>791.82999999999993</v>
      </c>
      <c r="H161" s="9">
        <f t="shared" si="47"/>
        <v>0.193</v>
      </c>
      <c r="I161" s="9">
        <f t="shared" si="47"/>
        <v>0.6160000000000001</v>
      </c>
      <c r="J161" s="9">
        <f t="shared" si="47"/>
        <v>8.5499999999999989</v>
      </c>
      <c r="K161" s="9">
        <f t="shared" si="47"/>
        <v>273.85000000000002</v>
      </c>
      <c r="L161" s="9">
        <f t="shared" si="47"/>
        <v>296.2</v>
      </c>
      <c r="M161" s="9">
        <f t="shared" si="47"/>
        <v>49.95</v>
      </c>
      <c r="N161" s="9">
        <f t="shared" si="47"/>
        <v>300.68</v>
      </c>
      <c r="O161" s="10">
        <f t="shared" si="47"/>
        <v>3.96</v>
      </c>
    </row>
    <row r="162" spans="1:15" ht="15.75" x14ac:dyDescent="0.25">
      <c r="A162" s="92" t="s">
        <v>21</v>
      </c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4"/>
    </row>
    <row r="163" spans="1:15" ht="31.5" x14ac:dyDescent="0.25">
      <c r="A163" s="39" t="s">
        <v>135</v>
      </c>
      <c r="B163" s="46" t="s">
        <v>130</v>
      </c>
      <c r="C163" s="41">
        <v>250</v>
      </c>
      <c r="D163" s="41">
        <v>7.68</v>
      </c>
      <c r="E163" s="41">
        <v>12.8</v>
      </c>
      <c r="F163" s="41">
        <v>28.15</v>
      </c>
      <c r="G163" s="41">
        <f>4*(D163+F163)+(9*E163)</f>
        <v>258.52</v>
      </c>
      <c r="H163" s="41">
        <v>0.27</v>
      </c>
      <c r="I163" s="41">
        <v>0.21299999999999999</v>
      </c>
      <c r="J163" s="41">
        <v>0.14299999999999999</v>
      </c>
      <c r="K163" s="41">
        <v>78</v>
      </c>
      <c r="L163" s="41">
        <v>134.25</v>
      </c>
      <c r="M163" s="41">
        <v>33.799999999999997</v>
      </c>
      <c r="N163" s="41">
        <v>113.6</v>
      </c>
      <c r="O163" s="42">
        <v>0.68600000000000005</v>
      </c>
    </row>
    <row r="164" spans="1:15" ht="15.75" x14ac:dyDescent="0.25">
      <c r="A164" s="11" t="s">
        <v>225</v>
      </c>
      <c r="B164" s="12" t="s">
        <v>226</v>
      </c>
      <c r="C164" s="13">
        <v>100</v>
      </c>
      <c r="D164" s="13">
        <v>11.13</v>
      </c>
      <c r="E164" s="13">
        <v>9.4</v>
      </c>
      <c r="F164" s="13">
        <v>11.76</v>
      </c>
      <c r="G164" s="13">
        <f t="shared" ref="G164:G168" si="48">4*(D164+F164)+(9*E164)</f>
        <v>176.16000000000003</v>
      </c>
      <c r="H164" s="13">
        <v>0.08</v>
      </c>
      <c r="I164" s="13">
        <v>7.0000000000000007E-2</v>
      </c>
      <c r="J164" s="13">
        <v>11</v>
      </c>
      <c r="K164" s="13">
        <v>161</v>
      </c>
      <c r="L164" s="13">
        <v>154.69999999999999</v>
      </c>
      <c r="M164" s="13">
        <v>49.3</v>
      </c>
      <c r="N164" s="13">
        <v>108.4</v>
      </c>
      <c r="O164" s="14">
        <v>2.0129999999999999</v>
      </c>
    </row>
    <row r="165" spans="1:15" ht="15.75" x14ac:dyDescent="0.25">
      <c r="A165" s="11" t="s">
        <v>113</v>
      </c>
      <c r="B165" s="12" t="s">
        <v>227</v>
      </c>
      <c r="C165" s="13">
        <v>220</v>
      </c>
      <c r="D165" s="13">
        <v>8.2899999999999991</v>
      </c>
      <c r="E165" s="13">
        <v>6.88</v>
      </c>
      <c r="F165" s="13">
        <v>44.26</v>
      </c>
      <c r="G165" s="13">
        <f t="shared" si="48"/>
        <v>272.12</v>
      </c>
      <c r="H165" s="13">
        <v>0.25</v>
      </c>
      <c r="I165" s="13">
        <v>0</v>
      </c>
      <c r="J165" s="13">
        <v>2.0499999999999998</v>
      </c>
      <c r="K165" s="13">
        <v>28.5</v>
      </c>
      <c r="L165" s="13">
        <v>107.24</v>
      </c>
      <c r="M165" s="13">
        <v>38.200000000000003</v>
      </c>
      <c r="N165" s="13">
        <v>106</v>
      </c>
      <c r="O165" s="14">
        <v>3.33</v>
      </c>
    </row>
    <row r="166" spans="1:15" ht="15.75" x14ac:dyDescent="0.25">
      <c r="A166" s="11" t="s">
        <v>133</v>
      </c>
      <c r="B166" s="12" t="s">
        <v>228</v>
      </c>
      <c r="C166" s="13">
        <v>180</v>
      </c>
      <c r="D166" s="13">
        <v>0.26</v>
      </c>
      <c r="E166" s="13">
        <v>0.12</v>
      </c>
      <c r="F166" s="13">
        <v>21.8</v>
      </c>
      <c r="G166" s="13">
        <f t="shared" si="48"/>
        <v>89.320000000000007</v>
      </c>
      <c r="H166" s="13">
        <v>0</v>
      </c>
      <c r="I166" s="13">
        <v>0.05</v>
      </c>
      <c r="J166" s="13">
        <v>20.399999999999999</v>
      </c>
      <c r="K166" s="13">
        <v>0</v>
      </c>
      <c r="L166" s="13">
        <v>19.2</v>
      </c>
      <c r="M166" s="13">
        <v>4.0999999999999996</v>
      </c>
      <c r="N166" s="13">
        <v>57.8</v>
      </c>
      <c r="O166" s="14">
        <v>0.4</v>
      </c>
    </row>
    <row r="167" spans="1:15" ht="15.75" x14ac:dyDescent="0.25">
      <c r="A167" s="11"/>
      <c r="B167" s="12" t="s">
        <v>86</v>
      </c>
      <c r="C167" s="13">
        <v>25</v>
      </c>
      <c r="D167" s="13">
        <v>1.6</v>
      </c>
      <c r="E167" s="13">
        <v>0.2</v>
      </c>
      <c r="F167" s="13">
        <v>10.4</v>
      </c>
      <c r="G167" s="13">
        <f t="shared" si="48"/>
        <v>49.8</v>
      </c>
      <c r="H167" s="13">
        <v>2.1999999999999999E-2</v>
      </c>
      <c r="I167" s="13">
        <v>0.01</v>
      </c>
      <c r="J167" s="13">
        <v>0</v>
      </c>
      <c r="K167" s="13">
        <v>0</v>
      </c>
      <c r="L167" s="13">
        <v>4.5999999999999996</v>
      </c>
      <c r="M167" s="13">
        <v>2.1</v>
      </c>
      <c r="N167" s="13">
        <v>21.2</v>
      </c>
      <c r="O167" s="14">
        <v>0.2</v>
      </c>
    </row>
    <row r="168" spans="1:15" ht="16.5" thickBot="1" x14ac:dyDescent="0.3">
      <c r="A168" s="23"/>
      <c r="B168" s="24" t="s">
        <v>92</v>
      </c>
      <c r="C168" s="25">
        <v>25</v>
      </c>
      <c r="D168" s="13">
        <v>1.3</v>
      </c>
      <c r="E168" s="13">
        <v>0.2</v>
      </c>
      <c r="F168" s="13">
        <v>8.1999999999999993</v>
      </c>
      <c r="G168" s="13">
        <f t="shared" si="48"/>
        <v>39.799999999999997</v>
      </c>
      <c r="H168" s="13">
        <v>2.1999999999999999E-2</v>
      </c>
      <c r="I168" s="13">
        <v>0.01</v>
      </c>
      <c r="J168" s="13">
        <v>0</v>
      </c>
      <c r="K168" s="13">
        <v>0</v>
      </c>
      <c r="L168" s="13">
        <v>5</v>
      </c>
      <c r="M168" s="13">
        <v>2.8</v>
      </c>
      <c r="N168" s="13">
        <v>13</v>
      </c>
      <c r="O168" s="14">
        <v>0.22</v>
      </c>
    </row>
    <row r="169" spans="1:15" ht="16.5" thickBot="1" x14ac:dyDescent="0.3">
      <c r="A169" s="90" t="s">
        <v>20</v>
      </c>
      <c r="B169" s="91"/>
      <c r="C169" s="9">
        <f t="shared" ref="C169:O169" si="49">SUM(C163:C168)</f>
        <v>800</v>
      </c>
      <c r="D169" s="9">
        <f t="shared" si="49"/>
        <v>30.260000000000005</v>
      </c>
      <c r="E169" s="9">
        <f t="shared" si="49"/>
        <v>29.6</v>
      </c>
      <c r="F169" s="9">
        <f t="shared" si="49"/>
        <v>124.57</v>
      </c>
      <c r="G169" s="9">
        <f t="shared" si="49"/>
        <v>885.71999999999991</v>
      </c>
      <c r="H169" s="9">
        <f t="shared" si="49"/>
        <v>0.64400000000000013</v>
      </c>
      <c r="I169" s="9">
        <f t="shared" si="49"/>
        <v>0.35300000000000004</v>
      </c>
      <c r="J169" s="9">
        <f t="shared" si="49"/>
        <v>33.593000000000004</v>
      </c>
      <c r="K169" s="9">
        <f t="shared" si="49"/>
        <v>267.5</v>
      </c>
      <c r="L169" s="9">
        <f t="shared" si="49"/>
        <v>424.99</v>
      </c>
      <c r="M169" s="9">
        <f t="shared" si="49"/>
        <v>130.29999999999998</v>
      </c>
      <c r="N169" s="9">
        <f t="shared" si="49"/>
        <v>420</v>
      </c>
      <c r="O169" s="10">
        <f t="shared" si="49"/>
        <v>6.8490000000000002</v>
      </c>
    </row>
    <row r="170" spans="1:15" ht="16.5" thickBot="1" x14ac:dyDescent="0.3">
      <c r="A170" s="28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30"/>
    </row>
    <row r="171" spans="1:15" ht="15.75" x14ac:dyDescent="0.25">
      <c r="A171" s="144" t="s">
        <v>57</v>
      </c>
      <c r="B171" s="145"/>
      <c r="C171" s="67">
        <f t="shared" ref="C171:O171" si="50">C154+C169</f>
        <v>1340</v>
      </c>
      <c r="D171" s="68">
        <f t="shared" si="50"/>
        <v>55.510000000000005</v>
      </c>
      <c r="E171" s="68">
        <f t="shared" si="50"/>
        <v>57.66</v>
      </c>
      <c r="F171" s="68">
        <f t="shared" si="50"/>
        <v>234.93</v>
      </c>
      <c r="G171" s="68">
        <f t="shared" si="50"/>
        <v>1680.6999999999998</v>
      </c>
      <c r="H171" s="67">
        <f t="shared" si="50"/>
        <v>0.84000000000000008</v>
      </c>
      <c r="I171" s="67">
        <f t="shared" si="50"/>
        <v>0.96300000000000008</v>
      </c>
      <c r="J171" s="67">
        <f t="shared" si="50"/>
        <v>42.243000000000002</v>
      </c>
      <c r="K171" s="67">
        <f t="shared" si="50"/>
        <v>543.6</v>
      </c>
      <c r="L171" s="67">
        <f t="shared" si="50"/>
        <v>720.72</v>
      </c>
      <c r="M171" s="67">
        <f t="shared" si="50"/>
        <v>180</v>
      </c>
      <c r="N171" s="67">
        <f t="shared" si="50"/>
        <v>720.12</v>
      </c>
      <c r="O171" s="69">
        <f t="shared" si="50"/>
        <v>10.888999999999999</v>
      </c>
    </row>
    <row r="172" spans="1:15" ht="16.5" thickBot="1" x14ac:dyDescent="0.3">
      <c r="A172" s="146" t="s">
        <v>58</v>
      </c>
      <c r="B172" s="147"/>
      <c r="C172" s="70">
        <f t="shared" ref="C172:O172" si="51">C161+C169</f>
        <v>1330</v>
      </c>
      <c r="D172" s="71">
        <f t="shared" si="51"/>
        <v>56.110000000000014</v>
      </c>
      <c r="E172" s="71">
        <f t="shared" si="51"/>
        <v>57.83</v>
      </c>
      <c r="F172" s="71">
        <f t="shared" si="51"/>
        <v>233.16</v>
      </c>
      <c r="G172" s="71">
        <f t="shared" si="51"/>
        <v>1677.5499999999997</v>
      </c>
      <c r="H172" s="70">
        <f t="shared" si="51"/>
        <v>0.83700000000000019</v>
      </c>
      <c r="I172" s="70">
        <f t="shared" si="51"/>
        <v>0.96900000000000008</v>
      </c>
      <c r="J172" s="70">
        <f t="shared" si="51"/>
        <v>42.143000000000001</v>
      </c>
      <c r="K172" s="70">
        <f t="shared" si="51"/>
        <v>541.35</v>
      </c>
      <c r="L172" s="70">
        <f t="shared" si="51"/>
        <v>721.19</v>
      </c>
      <c r="M172" s="70">
        <f t="shared" si="51"/>
        <v>180.25</v>
      </c>
      <c r="N172" s="70">
        <f t="shared" si="51"/>
        <v>720.68000000000006</v>
      </c>
      <c r="O172" s="72">
        <f t="shared" si="51"/>
        <v>10.809000000000001</v>
      </c>
    </row>
    <row r="173" spans="1:15" s="1" customFormat="1" ht="15.75" x14ac:dyDescent="0.25">
      <c r="A173" s="32"/>
      <c r="B173" s="32"/>
      <c r="C173" s="34"/>
      <c r="D173" s="33"/>
      <c r="E173" s="33"/>
      <c r="F173" s="33"/>
      <c r="G173" s="33"/>
      <c r="H173" s="34"/>
      <c r="I173" s="34"/>
      <c r="J173" s="34"/>
      <c r="K173" s="34"/>
      <c r="L173" s="34"/>
      <c r="M173" s="34"/>
      <c r="N173" s="34"/>
      <c r="O173" s="34"/>
    </row>
    <row r="174" spans="1:15" s="1" customFormat="1" ht="15.75" x14ac:dyDescent="0.25">
      <c r="A174" s="32"/>
      <c r="B174" s="32"/>
      <c r="C174" s="34"/>
      <c r="D174" s="33"/>
      <c r="E174" s="33"/>
      <c r="F174" s="33"/>
      <c r="G174" s="33"/>
      <c r="H174" s="34"/>
      <c r="I174" s="34"/>
      <c r="J174" s="34"/>
      <c r="K174" s="34"/>
      <c r="L174" s="34"/>
      <c r="M174" s="34"/>
      <c r="N174" s="34"/>
      <c r="O174" s="34"/>
    </row>
    <row r="175" spans="1:15" s="1" customFormat="1" x14ac:dyDescent="0.25">
      <c r="A175" s="87" t="s">
        <v>210</v>
      </c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</row>
    <row r="176" spans="1:15" s="1" customFormat="1" ht="15.75" x14ac:dyDescent="0.25">
      <c r="A176" s="32"/>
      <c r="B176" s="32"/>
      <c r="C176" s="34"/>
      <c r="D176" s="33"/>
      <c r="E176" s="33"/>
      <c r="F176" s="33"/>
      <c r="G176" s="33"/>
      <c r="H176" s="34"/>
      <c r="I176" s="34"/>
      <c r="J176" s="34"/>
      <c r="K176" s="34"/>
      <c r="L176" s="34"/>
      <c r="M176" s="34"/>
      <c r="N176" s="34"/>
      <c r="O176" s="34"/>
    </row>
    <row r="177" spans="1:15" s="1" customFormat="1" ht="15.75" x14ac:dyDescent="0.25">
      <c r="A177" s="151" t="s">
        <v>207</v>
      </c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</row>
    <row r="178" spans="1:15" s="1" customFormat="1" ht="16.5" thickBot="1" x14ac:dyDescent="0.3">
      <c r="A178" s="32"/>
      <c r="B178" s="32"/>
      <c r="C178" s="34"/>
      <c r="D178" s="33"/>
      <c r="E178" s="33"/>
      <c r="F178" s="33"/>
      <c r="G178" s="33"/>
      <c r="H178" s="34"/>
      <c r="I178" s="34"/>
      <c r="J178" s="34"/>
      <c r="K178" s="34"/>
      <c r="L178" s="34"/>
      <c r="M178" s="34"/>
      <c r="N178" s="34"/>
      <c r="O178" s="34"/>
    </row>
    <row r="179" spans="1:15" s="1" customFormat="1" x14ac:dyDescent="0.25">
      <c r="A179" s="98" t="s">
        <v>0</v>
      </c>
      <c r="B179" s="100" t="s">
        <v>1</v>
      </c>
      <c r="C179" s="102" t="s">
        <v>2</v>
      </c>
      <c r="D179" s="104" t="s">
        <v>3</v>
      </c>
      <c r="E179" s="105"/>
      <c r="F179" s="106"/>
      <c r="G179" s="102" t="s">
        <v>4</v>
      </c>
      <c r="H179" s="107" t="s">
        <v>5</v>
      </c>
      <c r="I179" s="107"/>
      <c r="J179" s="107"/>
      <c r="K179" s="107"/>
      <c r="L179" s="108" t="s">
        <v>6</v>
      </c>
      <c r="M179" s="109"/>
      <c r="N179" s="109"/>
      <c r="O179" s="110"/>
    </row>
    <row r="180" spans="1:15" ht="47.25" customHeight="1" thickBot="1" x14ac:dyDescent="0.3">
      <c r="A180" s="99"/>
      <c r="B180" s="101"/>
      <c r="C180" s="103"/>
      <c r="D180" s="35" t="s">
        <v>7</v>
      </c>
      <c r="E180" s="35" t="s">
        <v>8</v>
      </c>
      <c r="F180" s="35" t="s">
        <v>9</v>
      </c>
      <c r="G180" s="103"/>
      <c r="H180" s="36" t="s">
        <v>10</v>
      </c>
      <c r="I180" s="36" t="s">
        <v>16</v>
      </c>
      <c r="J180" s="36" t="s">
        <v>11</v>
      </c>
      <c r="K180" s="36" t="s">
        <v>17</v>
      </c>
      <c r="L180" s="37" t="s">
        <v>12</v>
      </c>
      <c r="M180" s="36" t="s">
        <v>13</v>
      </c>
      <c r="N180" s="36" t="s">
        <v>14</v>
      </c>
      <c r="O180" s="38" t="s">
        <v>15</v>
      </c>
    </row>
    <row r="181" spans="1:15" ht="15.75" x14ac:dyDescent="0.25">
      <c r="A181" s="84" t="s">
        <v>30</v>
      </c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6"/>
    </row>
    <row r="182" spans="1:15" ht="15.75" x14ac:dyDescent="0.25">
      <c r="A182" s="92" t="s">
        <v>47</v>
      </c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4"/>
    </row>
    <row r="183" spans="1:15" ht="15.75" x14ac:dyDescent="0.25">
      <c r="A183" s="44">
        <v>660.20079999999996</v>
      </c>
      <c r="B183" s="12" t="s">
        <v>184</v>
      </c>
      <c r="C183" s="49">
        <v>100</v>
      </c>
      <c r="D183" s="13">
        <v>11.3</v>
      </c>
      <c r="E183" s="13">
        <v>9.3000000000000007</v>
      </c>
      <c r="F183" s="13">
        <v>27.58</v>
      </c>
      <c r="G183" s="13">
        <f t="shared" ref="G183:G186" si="52">4*(D183+F183)+(9*E183)</f>
        <v>239.21999999999997</v>
      </c>
      <c r="H183" s="13">
        <v>0.124</v>
      </c>
      <c r="I183" s="13">
        <v>0.19</v>
      </c>
      <c r="J183" s="13">
        <v>3.3</v>
      </c>
      <c r="K183" s="13">
        <v>123.6</v>
      </c>
      <c r="L183" s="13">
        <v>114.3</v>
      </c>
      <c r="M183" s="13">
        <v>23.6</v>
      </c>
      <c r="N183" s="13">
        <v>143.6</v>
      </c>
      <c r="O183" s="14">
        <v>2.3199999999999998</v>
      </c>
    </row>
    <row r="184" spans="1:15" ht="15.75" x14ac:dyDescent="0.25">
      <c r="A184" s="11" t="s">
        <v>190</v>
      </c>
      <c r="B184" s="12" t="s">
        <v>185</v>
      </c>
      <c r="C184" s="49">
        <v>180</v>
      </c>
      <c r="D184" s="13">
        <v>4.5599999999999996</v>
      </c>
      <c r="E184" s="13">
        <v>6.22</v>
      </c>
      <c r="F184" s="13">
        <v>32.5</v>
      </c>
      <c r="G184" s="13">
        <f t="shared" si="52"/>
        <v>204.22</v>
      </c>
      <c r="H184" s="13">
        <v>0.08</v>
      </c>
      <c r="I184" s="13">
        <v>0.26</v>
      </c>
      <c r="J184" s="13">
        <v>6.06</v>
      </c>
      <c r="K184" s="13">
        <v>145</v>
      </c>
      <c r="L184" s="13">
        <v>143.30000000000001</v>
      </c>
      <c r="M184" s="13">
        <v>26.36</v>
      </c>
      <c r="N184" s="13">
        <v>164.8</v>
      </c>
      <c r="O184" s="14">
        <v>1.92</v>
      </c>
    </row>
    <row r="185" spans="1:15" ht="15.75" x14ac:dyDescent="0.25">
      <c r="A185" s="11"/>
      <c r="B185" s="12" t="s">
        <v>239</v>
      </c>
      <c r="C185" s="13">
        <v>35</v>
      </c>
      <c r="D185" s="13">
        <v>0.4</v>
      </c>
      <c r="E185" s="13">
        <v>1</v>
      </c>
      <c r="F185" s="13">
        <v>1.8</v>
      </c>
      <c r="G185" s="13">
        <f t="shared" si="52"/>
        <v>17.8</v>
      </c>
      <c r="H185" s="13">
        <v>2.4E-2</v>
      </c>
      <c r="I185" s="13">
        <v>1.7999999999999999E-2</v>
      </c>
      <c r="J185" s="13">
        <v>1.75</v>
      </c>
      <c r="K185" s="13">
        <v>0</v>
      </c>
      <c r="L185" s="13">
        <v>6.2</v>
      </c>
      <c r="M185" s="13">
        <v>4</v>
      </c>
      <c r="N185" s="13">
        <v>12.3</v>
      </c>
      <c r="O185" s="14">
        <v>0.42</v>
      </c>
    </row>
    <row r="186" spans="1:15" ht="15.75" x14ac:dyDescent="0.25">
      <c r="A186" s="11" t="s">
        <v>114</v>
      </c>
      <c r="B186" s="12" t="s">
        <v>84</v>
      </c>
      <c r="C186" s="13">
        <v>200</v>
      </c>
      <c r="D186" s="13">
        <v>0.05</v>
      </c>
      <c r="E186" s="13">
        <v>0.02</v>
      </c>
      <c r="F186" s="13">
        <v>9.32</v>
      </c>
      <c r="G186" s="13">
        <f t="shared" si="52"/>
        <v>37.660000000000004</v>
      </c>
      <c r="H186" s="13">
        <v>0</v>
      </c>
      <c r="I186" s="13">
        <v>0</v>
      </c>
      <c r="J186" s="13">
        <v>0.02</v>
      </c>
      <c r="K186" s="13">
        <v>0</v>
      </c>
      <c r="L186" s="13">
        <v>8</v>
      </c>
      <c r="M186" s="13">
        <v>0.9</v>
      </c>
      <c r="N186" s="13">
        <v>1.6</v>
      </c>
      <c r="O186" s="14">
        <v>0.19</v>
      </c>
    </row>
    <row r="187" spans="1:15" ht="16.5" thickBot="1" x14ac:dyDescent="0.3">
      <c r="A187" s="23"/>
      <c r="B187" s="12" t="s">
        <v>86</v>
      </c>
      <c r="C187" s="13">
        <v>25</v>
      </c>
      <c r="D187" s="13">
        <v>1.6</v>
      </c>
      <c r="E187" s="13">
        <v>0.2</v>
      </c>
      <c r="F187" s="13">
        <v>10.4</v>
      </c>
      <c r="G187" s="13">
        <f>4*(D187+F187)+(E187*9)</f>
        <v>49.8</v>
      </c>
      <c r="H187" s="13">
        <v>2.1999999999999999E-2</v>
      </c>
      <c r="I187" s="13">
        <v>0.01</v>
      </c>
      <c r="J187" s="13">
        <v>0</v>
      </c>
      <c r="K187" s="13">
        <v>0</v>
      </c>
      <c r="L187" s="13">
        <v>4.5999999999999996</v>
      </c>
      <c r="M187" s="13">
        <v>2.1</v>
      </c>
      <c r="N187" s="13">
        <v>21.2</v>
      </c>
      <c r="O187" s="14">
        <v>0.2</v>
      </c>
    </row>
    <row r="188" spans="1:15" ht="16.5" thickBot="1" x14ac:dyDescent="0.3">
      <c r="A188" s="90" t="s">
        <v>20</v>
      </c>
      <c r="B188" s="91"/>
      <c r="C188" s="9">
        <f t="shared" ref="C188:O188" si="53">SUM(C183:C187)</f>
        <v>540</v>
      </c>
      <c r="D188" s="9">
        <f t="shared" si="53"/>
        <v>17.91</v>
      </c>
      <c r="E188" s="9">
        <f t="shared" si="53"/>
        <v>16.739999999999998</v>
      </c>
      <c r="F188" s="61">
        <f t="shared" si="53"/>
        <v>81.599999999999994</v>
      </c>
      <c r="G188" s="9">
        <f t="shared" si="53"/>
        <v>548.69999999999993</v>
      </c>
      <c r="H188" s="62">
        <f t="shared" si="53"/>
        <v>0.25</v>
      </c>
      <c r="I188" s="9">
        <f t="shared" si="53"/>
        <v>0.47800000000000004</v>
      </c>
      <c r="J188" s="9">
        <f t="shared" si="53"/>
        <v>11.129999999999999</v>
      </c>
      <c r="K188" s="9">
        <f t="shared" si="53"/>
        <v>268.60000000000002</v>
      </c>
      <c r="L188" s="9">
        <f t="shared" si="53"/>
        <v>276.40000000000003</v>
      </c>
      <c r="M188" s="9">
        <f t="shared" si="53"/>
        <v>56.96</v>
      </c>
      <c r="N188" s="9">
        <f t="shared" si="53"/>
        <v>343.5</v>
      </c>
      <c r="O188" s="10">
        <f t="shared" si="53"/>
        <v>5.0500000000000007</v>
      </c>
    </row>
    <row r="189" spans="1:15" ht="15.75" x14ac:dyDescent="0.25">
      <c r="A189" s="92" t="s">
        <v>48</v>
      </c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4"/>
    </row>
    <row r="190" spans="1:15" ht="15.75" x14ac:dyDescent="0.25">
      <c r="A190" s="11" t="s">
        <v>124</v>
      </c>
      <c r="B190" s="12" t="s">
        <v>189</v>
      </c>
      <c r="C190" s="49">
        <v>250</v>
      </c>
      <c r="D190" s="13">
        <v>7.48</v>
      </c>
      <c r="E190" s="13">
        <v>7.21</v>
      </c>
      <c r="F190" s="13">
        <v>26.84</v>
      </c>
      <c r="G190" s="13">
        <f>4*(D190+F190)+(9*E190)</f>
        <v>202.17000000000002</v>
      </c>
      <c r="H190" s="13">
        <v>0.12</v>
      </c>
      <c r="I190" s="13">
        <v>0.26</v>
      </c>
      <c r="J190" s="13">
        <v>3.8</v>
      </c>
      <c r="K190" s="13">
        <v>142.69999999999999</v>
      </c>
      <c r="L190" s="13">
        <v>151.80000000000001</v>
      </c>
      <c r="M190" s="13">
        <v>29.8</v>
      </c>
      <c r="N190" s="13">
        <v>134.80000000000001</v>
      </c>
      <c r="O190" s="14">
        <v>1.4</v>
      </c>
    </row>
    <row r="191" spans="1:15" s="1" customFormat="1" ht="15.75" x14ac:dyDescent="0.25">
      <c r="A191" s="11"/>
      <c r="B191" s="12" t="s">
        <v>186</v>
      </c>
      <c r="C191" s="49">
        <v>50</v>
      </c>
      <c r="D191" s="13">
        <v>6.46</v>
      </c>
      <c r="E191" s="13">
        <v>10.89</v>
      </c>
      <c r="F191" s="13">
        <v>16.48</v>
      </c>
      <c r="G191" s="13">
        <f>4*(D191+F191)+(9*E191)</f>
        <v>189.77</v>
      </c>
      <c r="H191" s="13">
        <v>0.1</v>
      </c>
      <c r="I191" s="13">
        <v>0.2</v>
      </c>
      <c r="J191" s="13">
        <v>2</v>
      </c>
      <c r="K191" s="13">
        <v>125</v>
      </c>
      <c r="L191" s="13">
        <v>101</v>
      </c>
      <c r="M191" s="13">
        <v>14.1</v>
      </c>
      <c r="N191" s="13">
        <v>151.69999999999999</v>
      </c>
      <c r="O191" s="14">
        <v>0.38</v>
      </c>
    </row>
    <row r="192" spans="1:15" ht="15.75" x14ac:dyDescent="0.25">
      <c r="A192" s="11"/>
      <c r="B192" s="12" t="s">
        <v>94</v>
      </c>
      <c r="C192" s="13">
        <v>200</v>
      </c>
      <c r="D192" s="25">
        <v>1</v>
      </c>
      <c r="E192" s="25">
        <v>0</v>
      </c>
      <c r="F192" s="25">
        <v>20.2</v>
      </c>
      <c r="G192" s="13">
        <f>4*(D192+F192)+(E192*9)</f>
        <v>84.8</v>
      </c>
      <c r="H192" s="25">
        <v>0</v>
      </c>
      <c r="I192" s="25">
        <v>3.0000000000000001E-3</v>
      </c>
      <c r="J192" s="25">
        <v>4</v>
      </c>
      <c r="K192" s="25">
        <v>0</v>
      </c>
      <c r="L192" s="25">
        <v>14.8</v>
      </c>
      <c r="M192" s="25">
        <v>8</v>
      </c>
      <c r="N192" s="25">
        <v>14.08</v>
      </c>
      <c r="O192" s="26">
        <v>2.8</v>
      </c>
    </row>
    <row r="193" spans="1:15" ht="16.5" thickBot="1" x14ac:dyDescent="0.3">
      <c r="A193" s="11"/>
      <c r="B193" s="12" t="s">
        <v>86</v>
      </c>
      <c r="C193" s="13">
        <v>50</v>
      </c>
      <c r="D193" s="13">
        <v>3.2</v>
      </c>
      <c r="E193" s="13">
        <v>0.4</v>
      </c>
      <c r="F193" s="13">
        <v>20.8</v>
      </c>
      <c r="G193" s="13">
        <f>4*(D193+F193)+(E193*9)</f>
        <v>99.6</v>
      </c>
      <c r="H193" s="13">
        <v>4.3999999999999997E-2</v>
      </c>
      <c r="I193" s="13">
        <v>0.02</v>
      </c>
      <c r="J193" s="13">
        <v>0</v>
      </c>
      <c r="K193" s="13">
        <v>0</v>
      </c>
      <c r="L193" s="13">
        <v>9.1999999999999993</v>
      </c>
      <c r="M193" s="13">
        <v>4.2</v>
      </c>
      <c r="N193" s="13">
        <v>42.4</v>
      </c>
      <c r="O193" s="14">
        <v>0.4</v>
      </c>
    </row>
    <row r="194" spans="1:15" ht="16.5" thickBot="1" x14ac:dyDescent="0.3">
      <c r="A194" s="90" t="s">
        <v>20</v>
      </c>
      <c r="B194" s="91"/>
      <c r="C194" s="9">
        <f t="shared" ref="C194:O194" si="54">SUM(C190:C193)</f>
        <v>550</v>
      </c>
      <c r="D194" s="9">
        <f t="shared" si="54"/>
        <v>18.14</v>
      </c>
      <c r="E194" s="9">
        <f t="shared" si="54"/>
        <v>18.5</v>
      </c>
      <c r="F194" s="9">
        <f t="shared" si="54"/>
        <v>84.32</v>
      </c>
      <c r="G194" s="9">
        <f t="shared" si="54"/>
        <v>576.34</v>
      </c>
      <c r="H194" s="9">
        <f t="shared" si="54"/>
        <v>0.26400000000000001</v>
      </c>
      <c r="I194" s="9">
        <f t="shared" si="54"/>
        <v>0.48300000000000004</v>
      </c>
      <c r="J194" s="9">
        <f t="shared" si="54"/>
        <v>9.8000000000000007</v>
      </c>
      <c r="K194" s="9">
        <f t="shared" si="54"/>
        <v>267.7</v>
      </c>
      <c r="L194" s="9">
        <f t="shared" si="54"/>
        <v>276.8</v>
      </c>
      <c r="M194" s="9">
        <f t="shared" si="54"/>
        <v>56.1</v>
      </c>
      <c r="N194" s="9">
        <f t="shared" si="54"/>
        <v>342.97999999999996</v>
      </c>
      <c r="O194" s="10">
        <f t="shared" si="54"/>
        <v>4.9800000000000004</v>
      </c>
    </row>
    <row r="195" spans="1:15" ht="15.75" x14ac:dyDescent="0.25">
      <c r="A195" s="92" t="s">
        <v>21</v>
      </c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4"/>
    </row>
    <row r="196" spans="1:15" ht="15.75" x14ac:dyDescent="0.25">
      <c r="A196" s="11" t="s">
        <v>191</v>
      </c>
      <c r="B196" s="12" t="s">
        <v>187</v>
      </c>
      <c r="C196" s="13">
        <v>250</v>
      </c>
      <c r="D196" s="13">
        <v>9.6300000000000008</v>
      </c>
      <c r="E196" s="13">
        <v>16.22</v>
      </c>
      <c r="F196" s="13">
        <v>41.9</v>
      </c>
      <c r="G196" s="13">
        <f>4*(D196+F196)+(9*E196)</f>
        <v>352.1</v>
      </c>
      <c r="H196" s="13">
        <v>0.13</v>
      </c>
      <c r="I196" s="13">
        <v>0.2</v>
      </c>
      <c r="J196" s="13">
        <v>4</v>
      </c>
      <c r="K196" s="13">
        <v>123.9</v>
      </c>
      <c r="L196" s="13">
        <v>139.80000000000001</v>
      </c>
      <c r="M196" s="13">
        <v>58.9</v>
      </c>
      <c r="N196" s="13">
        <v>124.8</v>
      </c>
      <c r="O196" s="14">
        <v>2.02</v>
      </c>
    </row>
    <row r="197" spans="1:15" ht="15.75" x14ac:dyDescent="0.25">
      <c r="A197" s="11" t="s">
        <v>192</v>
      </c>
      <c r="B197" s="12" t="s">
        <v>188</v>
      </c>
      <c r="C197" s="49">
        <v>200</v>
      </c>
      <c r="D197" s="13">
        <v>23.08</v>
      </c>
      <c r="E197" s="13">
        <v>18.07</v>
      </c>
      <c r="F197" s="13">
        <v>64.52</v>
      </c>
      <c r="G197" s="13">
        <f t="shared" ref="G197:G201" si="55">4*(D197+F197)+(9*E197)</f>
        <v>513.03</v>
      </c>
      <c r="H197" s="13">
        <v>0.4</v>
      </c>
      <c r="I197" s="13">
        <v>0.1</v>
      </c>
      <c r="J197" s="13">
        <v>7.4</v>
      </c>
      <c r="K197" s="13">
        <v>128</v>
      </c>
      <c r="L197" s="13">
        <v>138.4</v>
      </c>
      <c r="M197" s="13">
        <v>27.5</v>
      </c>
      <c r="N197" s="13">
        <v>165.62</v>
      </c>
      <c r="O197" s="14">
        <v>1.83</v>
      </c>
    </row>
    <row r="198" spans="1:15" ht="15.75" x14ac:dyDescent="0.25">
      <c r="A198" s="11" t="s">
        <v>134</v>
      </c>
      <c r="B198" s="12" t="s">
        <v>257</v>
      </c>
      <c r="C198" s="49">
        <v>100</v>
      </c>
      <c r="D198" s="13">
        <v>0.6</v>
      </c>
      <c r="E198" s="13">
        <v>5.05</v>
      </c>
      <c r="F198" s="13">
        <v>2.8</v>
      </c>
      <c r="G198" s="13">
        <f t="shared" si="55"/>
        <v>59.05</v>
      </c>
      <c r="H198" s="13">
        <v>0.02</v>
      </c>
      <c r="I198" s="13">
        <v>0.121</v>
      </c>
      <c r="J198" s="13">
        <v>13</v>
      </c>
      <c r="K198" s="13">
        <v>20</v>
      </c>
      <c r="L198" s="13">
        <v>82.2</v>
      </c>
      <c r="M198" s="13">
        <v>30.4</v>
      </c>
      <c r="N198" s="13">
        <v>30.5</v>
      </c>
      <c r="O198" s="14">
        <v>1.2</v>
      </c>
    </row>
    <row r="199" spans="1:15" ht="15.75" x14ac:dyDescent="0.25">
      <c r="A199" s="11" t="s">
        <v>95</v>
      </c>
      <c r="B199" s="12" t="s">
        <v>91</v>
      </c>
      <c r="C199" s="13">
        <v>200</v>
      </c>
      <c r="D199" s="13">
        <v>0.4</v>
      </c>
      <c r="E199" s="13">
        <v>0.02</v>
      </c>
      <c r="F199" s="13">
        <v>19.73</v>
      </c>
      <c r="G199" s="13">
        <f t="shared" si="55"/>
        <v>80.7</v>
      </c>
      <c r="H199" s="13">
        <v>2E-3</v>
      </c>
      <c r="I199" s="13">
        <v>0.05</v>
      </c>
      <c r="J199" s="13">
        <v>7.6</v>
      </c>
      <c r="K199" s="13">
        <v>0</v>
      </c>
      <c r="L199" s="13">
        <v>73.87</v>
      </c>
      <c r="M199" s="13">
        <v>2.5</v>
      </c>
      <c r="N199" s="13">
        <v>21.55</v>
      </c>
      <c r="O199" s="14">
        <v>0.3</v>
      </c>
    </row>
    <row r="200" spans="1:15" ht="15.75" x14ac:dyDescent="0.25">
      <c r="A200" s="11"/>
      <c r="B200" s="12" t="s">
        <v>86</v>
      </c>
      <c r="C200" s="13">
        <v>25</v>
      </c>
      <c r="D200" s="13">
        <v>1.6</v>
      </c>
      <c r="E200" s="13">
        <v>0.2</v>
      </c>
      <c r="F200" s="13">
        <v>10.4</v>
      </c>
      <c r="G200" s="13">
        <f t="shared" si="55"/>
        <v>49.8</v>
      </c>
      <c r="H200" s="13">
        <v>2.1999999999999999E-2</v>
      </c>
      <c r="I200" s="13">
        <v>0.01</v>
      </c>
      <c r="J200" s="13">
        <v>0</v>
      </c>
      <c r="K200" s="13">
        <v>0</v>
      </c>
      <c r="L200" s="13">
        <v>4.5999999999999996</v>
      </c>
      <c r="M200" s="13">
        <v>2.1</v>
      </c>
      <c r="N200" s="13">
        <v>21.2</v>
      </c>
      <c r="O200" s="14">
        <v>0.2</v>
      </c>
    </row>
    <row r="201" spans="1:15" ht="16.5" thickBot="1" x14ac:dyDescent="0.3">
      <c r="A201" s="11"/>
      <c r="B201" s="24" t="s">
        <v>92</v>
      </c>
      <c r="C201" s="25">
        <v>25</v>
      </c>
      <c r="D201" s="13">
        <v>1.3</v>
      </c>
      <c r="E201" s="13">
        <v>0.2</v>
      </c>
      <c r="F201" s="13">
        <v>8.1999999999999993</v>
      </c>
      <c r="G201" s="13">
        <f t="shared" si="55"/>
        <v>39.799999999999997</v>
      </c>
      <c r="H201" s="13">
        <v>2.1999999999999999E-2</v>
      </c>
      <c r="I201" s="13">
        <v>0.01</v>
      </c>
      <c r="J201" s="13">
        <v>0</v>
      </c>
      <c r="K201" s="13">
        <v>0</v>
      </c>
      <c r="L201" s="13">
        <v>5</v>
      </c>
      <c r="M201" s="13">
        <v>2.8</v>
      </c>
      <c r="N201" s="13">
        <v>13</v>
      </c>
      <c r="O201" s="14">
        <v>0.22</v>
      </c>
    </row>
    <row r="202" spans="1:15" ht="16.5" thickBot="1" x14ac:dyDescent="0.3">
      <c r="A202" s="90" t="s">
        <v>20</v>
      </c>
      <c r="B202" s="91"/>
      <c r="C202" s="9">
        <f>SUM(C196:C201)</f>
        <v>800</v>
      </c>
      <c r="D202" s="9">
        <f t="shared" ref="D202:O202" si="56">SUM(D196:D201)</f>
        <v>36.61</v>
      </c>
      <c r="E202" s="9">
        <f t="shared" si="56"/>
        <v>39.760000000000005</v>
      </c>
      <c r="F202" s="9">
        <f t="shared" si="56"/>
        <v>147.54999999999998</v>
      </c>
      <c r="G202" s="9">
        <f t="shared" si="56"/>
        <v>1094.48</v>
      </c>
      <c r="H202" s="9">
        <f t="shared" si="56"/>
        <v>0.59600000000000009</v>
      </c>
      <c r="I202" s="9">
        <f t="shared" si="56"/>
        <v>0.49100000000000005</v>
      </c>
      <c r="J202" s="9">
        <f t="shared" si="56"/>
        <v>32</v>
      </c>
      <c r="K202" s="9">
        <f t="shared" si="56"/>
        <v>271.89999999999998</v>
      </c>
      <c r="L202" s="9">
        <f t="shared" si="56"/>
        <v>443.87000000000006</v>
      </c>
      <c r="M202" s="9">
        <f t="shared" si="56"/>
        <v>124.2</v>
      </c>
      <c r="N202" s="9">
        <f t="shared" si="56"/>
        <v>376.67</v>
      </c>
      <c r="O202" s="10">
        <f t="shared" si="56"/>
        <v>5.77</v>
      </c>
    </row>
    <row r="203" spans="1:15" ht="16.5" thickBot="1" x14ac:dyDescent="0.3">
      <c r="A203" s="28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30"/>
    </row>
    <row r="204" spans="1:15" ht="15.75" x14ac:dyDescent="0.25">
      <c r="A204" s="144" t="s">
        <v>59</v>
      </c>
      <c r="B204" s="145"/>
      <c r="C204" s="67">
        <f t="shared" ref="C204:O204" si="57">C188+C202</f>
        <v>1340</v>
      </c>
      <c r="D204" s="68">
        <f t="shared" si="57"/>
        <v>54.519999999999996</v>
      </c>
      <c r="E204" s="68">
        <f t="shared" si="57"/>
        <v>56.5</v>
      </c>
      <c r="F204" s="68">
        <f t="shared" si="57"/>
        <v>229.14999999999998</v>
      </c>
      <c r="G204" s="68">
        <f t="shared" si="57"/>
        <v>1643.1799999999998</v>
      </c>
      <c r="H204" s="67">
        <f t="shared" si="57"/>
        <v>0.84600000000000009</v>
      </c>
      <c r="I204" s="67">
        <f t="shared" si="57"/>
        <v>0.96900000000000008</v>
      </c>
      <c r="J204" s="67">
        <f t="shared" si="57"/>
        <v>43.129999999999995</v>
      </c>
      <c r="K204" s="67">
        <f t="shared" si="57"/>
        <v>540.5</v>
      </c>
      <c r="L204" s="67">
        <f t="shared" si="57"/>
        <v>720.2700000000001</v>
      </c>
      <c r="M204" s="67">
        <f t="shared" si="57"/>
        <v>181.16</v>
      </c>
      <c r="N204" s="67">
        <f t="shared" si="57"/>
        <v>720.17000000000007</v>
      </c>
      <c r="O204" s="69">
        <f t="shared" si="57"/>
        <v>10.82</v>
      </c>
    </row>
    <row r="205" spans="1:15" ht="16.5" thickBot="1" x14ac:dyDescent="0.3">
      <c r="A205" s="146" t="s">
        <v>60</v>
      </c>
      <c r="B205" s="147"/>
      <c r="C205" s="70">
        <f t="shared" ref="C205:O205" si="58">C194+C202</f>
        <v>1350</v>
      </c>
      <c r="D205" s="71">
        <f t="shared" si="58"/>
        <v>54.75</v>
      </c>
      <c r="E205" s="71">
        <f t="shared" si="58"/>
        <v>58.260000000000005</v>
      </c>
      <c r="F205" s="71">
        <f t="shared" si="58"/>
        <v>231.86999999999998</v>
      </c>
      <c r="G205" s="71">
        <f t="shared" si="58"/>
        <v>1670.8200000000002</v>
      </c>
      <c r="H205" s="70">
        <f t="shared" si="58"/>
        <v>0.8600000000000001</v>
      </c>
      <c r="I205" s="70">
        <f t="shared" si="58"/>
        <v>0.97400000000000009</v>
      </c>
      <c r="J205" s="70">
        <f t="shared" si="58"/>
        <v>41.8</v>
      </c>
      <c r="K205" s="70">
        <f t="shared" si="58"/>
        <v>539.59999999999991</v>
      </c>
      <c r="L205" s="70">
        <f t="shared" si="58"/>
        <v>720.67000000000007</v>
      </c>
      <c r="M205" s="70">
        <f t="shared" si="58"/>
        <v>180.3</v>
      </c>
      <c r="N205" s="70">
        <f t="shared" si="58"/>
        <v>719.65</v>
      </c>
      <c r="O205" s="72">
        <f t="shared" si="58"/>
        <v>10.75</v>
      </c>
    </row>
    <row r="206" spans="1:15" s="1" customFormat="1" ht="15.75" x14ac:dyDescent="0.25">
      <c r="A206" s="32"/>
      <c r="B206" s="32"/>
      <c r="C206" s="34"/>
      <c r="D206" s="33"/>
      <c r="E206" s="33"/>
      <c r="F206" s="33"/>
      <c r="G206" s="33"/>
      <c r="H206" s="34"/>
      <c r="I206" s="34"/>
      <c r="J206" s="34"/>
      <c r="K206" s="34"/>
      <c r="L206" s="34"/>
      <c r="M206" s="34"/>
      <c r="N206" s="34"/>
      <c r="O206" s="34"/>
    </row>
    <row r="207" spans="1:15" s="1" customFormat="1" ht="15.75" x14ac:dyDescent="0.25">
      <c r="A207" s="32"/>
      <c r="B207" s="32"/>
      <c r="C207" s="34"/>
      <c r="D207" s="33"/>
      <c r="E207" s="33"/>
      <c r="F207" s="33"/>
      <c r="G207" s="33"/>
      <c r="H207" s="34"/>
      <c r="I207" s="34"/>
      <c r="J207" s="34"/>
      <c r="K207" s="34"/>
      <c r="L207" s="34"/>
      <c r="M207" s="34"/>
      <c r="N207" s="34"/>
      <c r="O207" s="34"/>
    </row>
    <row r="208" spans="1:15" s="1" customFormat="1" x14ac:dyDescent="0.25">
      <c r="A208" s="87" t="s">
        <v>210</v>
      </c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</row>
    <row r="209" spans="1:15" s="1" customFormat="1" ht="15.75" x14ac:dyDescent="0.25">
      <c r="A209" s="32"/>
      <c r="B209" s="32"/>
      <c r="C209" s="34"/>
      <c r="D209" s="33"/>
      <c r="E209" s="33"/>
      <c r="F209" s="33"/>
      <c r="G209" s="33"/>
      <c r="H209" s="34"/>
      <c r="I209" s="34"/>
      <c r="J209" s="34"/>
      <c r="K209" s="34"/>
      <c r="L209" s="34"/>
      <c r="M209" s="34"/>
      <c r="N209" s="34"/>
      <c r="O209" s="34"/>
    </row>
    <row r="210" spans="1:15" s="1" customFormat="1" ht="15.75" x14ac:dyDescent="0.25">
      <c r="A210" s="151" t="s">
        <v>207</v>
      </c>
      <c r="B210" s="151"/>
      <c r="C210" s="151"/>
      <c r="D210" s="151"/>
      <c r="E210" s="151"/>
      <c r="F210" s="151"/>
      <c r="G210" s="151"/>
      <c r="H210" s="151"/>
      <c r="I210" s="151"/>
      <c r="J210" s="151"/>
      <c r="K210" s="151"/>
      <c r="L210" s="151"/>
      <c r="M210" s="151"/>
      <c r="N210" s="151"/>
      <c r="O210" s="151"/>
    </row>
    <row r="211" spans="1:15" s="1" customFormat="1" ht="16.5" thickBot="1" x14ac:dyDescent="0.3">
      <c r="A211" s="32"/>
      <c r="B211" s="32"/>
      <c r="C211" s="34"/>
      <c r="D211" s="33"/>
      <c r="E211" s="33"/>
      <c r="F211" s="33"/>
      <c r="G211" s="33"/>
      <c r="H211" s="34"/>
      <c r="I211" s="34"/>
      <c r="J211" s="34"/>
      <c r="K211" s="34"/>
      <c r="L211" s="34"/>
      <c r="M211" s="34"/>
      <c r="N211" s="34"/>
      <c r="O211" s="34"/>
    </row>
    <row r="212" spans="1:15" s="1" customFormat="1" x14ac:dyDescent="0.25">
      <c r="A212" s="98" t="s">
        <v>0</v>
      </c>
      <c r="B212" s="100" t="s">
        <v>1</v>
      </c>
      <c r="C212" s="102" t="s">
        <v>2</v>
      </c>
      <c r="D212" s="104" t="s">
        <v>3</v>
      </c>
      <c r="E212" s="105"/>
      <c r="F212" s="106"/>
      <c r="G212" s="102" t="s">
        <v>4</v>
      </c>
      <c r="H212" s="107" t="s">
        <v>5</v>
      </c>
      <c r="I212" s="107"/>
      <c r="J212" s="107"/>
      <c r="K212" s="107"/>
      <c r="L212" s="108" t="s">
        <v>6</v>
      </c>
      <c r="M212" s="109"/>
      <c r="N212" s="109"/>
      <c r="O212" s="110"/>
    </row>
    <row r="213" spans="1:15" ht="48" customHeight="1" thickBot="1" x14ac:dyDescent="0.3">
      <c r="A213" s="99"/>
      <c r="B213" s="101"/>
      <c r="C213" s="103"/>
      <c r="D213" s="35" t="s">
        <v>7</v>
      </c>
      <c r="E213" s="35" t="s">
        <v>8</v>
      </c>
      <c r="F213" s="35" t="s">
        <v>9</v>
      </c>
      <c r="G213" s="103"/>
      <c r="H213" s="36" t="s">
        <v>10</v>
      </c>
      <c r="I213" s="36" t="s">
        <v>16</v>
      </c>
      <c r="J213" s="36" t="s">
        <v>11</v>
      </c>
      <c r="K213" s="36" t="s">
        <v>17</v>
      </c>
      <c r="L213" s="37" t="s">
        <v>12</v>
      </c>
      <c r="M213" s="36" t="s">
        <v>13</v>
      </c>
      <c r="N213" s="36" t="s">
        <v>14</v>
      </c>
      <c r="O213" s="38" t="s">
        <v>15</v>
      </c>
    </row>
    <row r="214" spans="1:15" ht="15.75" x14ac:dyDescent="0.25">
      <c r="A214" s="84" t="s">
        <v>31</v>
      </c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6"/>
    </row>
    <row r="215" spans="1:15" ht="15.75" x14ac:dyDescent="0.25">
      <c r="A215" s="92" t="s">
        <v>47</v>
      </c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4"/>
    </row>
    <row r="216" spans="1:15" ht="15.75" x14ac:dyDescent="0.25">
      <c r="A216" s="44" t="s">
        <v>138</v>
      </c>
      <c r="B216" s="12" t="s">
        <v>196</v>
      </c>
      <c r="C216" s="49">
        <v>100</v>
      </c>
      <c r="D216" s="13">
        <v>11.3</v>
      </c>
      <c r="E216" s="13">
        <v>9.3000000000000007</v>
      </c>
      <c r="F216" s="13">
        <v>27.58</v>
      </c>
      <c r="G216" s="13">
        <f t="shared" ref="G216:G217" si="59">4*(D216+F216)+(9*E216)</f>
        <v>239.21999999999997</v>
      </c>
      <c r="H216" s="13">
        <v>0.124</v>
      </c>
      <c r="I216" s="13">
        <v>0.19</v>
      </c>
      <c r="J216" s="13">
        <v>3.3</v>
      </c>
      <c r="K216" s="13">
        <v>123.6</v>
      </c>
      <c r="L216" s="13">
        <v>114.3</v>
      </c>
      <c r="M216" s="13">
        <v>23.6</v>
      </c>
      <c r="N216" s="13">
        <v>136.6</v>
      </c>
      <c r="O216" s="14">
        <v>2.3199999999999998</v>
      </c>
    </row>
    <row r="217" spans="1:15" ht="31.5" x14ac:dyDescent="0.25">
      <c r="A217" s="11"/>
      <c r="B217" s="40" t="s">
        <v>252</v>
      </c>
      <c r="C217" s="41">
        <v>180</v>
      </c>
      <c r="D217" s="41">
        <v>3.79</v>
      </c>
      <c r="E217" s="41">
        <v>3.84</v>
      </c>
      <c r="F217" s="41">
        <v>2.52</v>
      </c>
      <c r="G217" s="41">
        <f t="shared" si="59"/>
        <v>59.800000000000004</v>
      </c>
      <c r="H217" s="41">
        <v>3.5999999999999997E-2</v>
      </c>
      <c r="I217" s="41">
        <v>0.15</v>
      </c>
      <c r="J217" s="41">
        <v>2.15</v>
      </c>
      <c r="K217" s="41">
        <v>91.4</v>
      </c>
      <c r="L217" s="41">
        <v>87.4</v>
      </c>
      <c r="M217" s="41">
        <v>12</v>
      </c>
      <c r="N217" s="41">
        <v>23.6</v>
      </c>
      <c r="O217" s="42">
        <v>2.14</v>
      </c>
    </row>
    <row r="218" spans="1:15" ht="15.75" x14ac:dyDescent="0.25">
      <c r="A218" s="11" t="s">
        <v>220</v>
      </c>
      <c r="B218" s="12" t="s">
        <v>170</v>
      </c>
      <c r="C218" s="13">
        <v>50</v>
      </c>
      <c r="D218" s="13">
        <v>4.2</v>
      </c>
      <c r="E218" s="13">
        <v>4.7</v>
      </c>
      <c r="F218" s="13">
        <v>32.15</v>
      </c>
      <c r="G218" s="13">
        <f>4*(D218+F218)+(9*E218)</f>
        <v>187.70000000000002</v>
      </c>
      <c r="H218" s="13">
        <v>2.5999999999999999E-2</v>
      </c>
      <c r="I218" s="13">
        <v>0.05</v>
      </c>
      <c r="J218" s="13">
        <v>4.5999999999999996</v>
      </c>
      <c r="K218" s="13">
        <v>52.3</v>
      </c>
      <c r="L218" s="13">
        <v>38.200000000000003</v>
      </c>
      <c r="M218" s="13">
        <v>14.5</v>
      </c>
      <c r="N218" s="13">
        <v>44.6</v>
      </c>
      <c r="O218" s="14">
        <v>6.2E-2</v>
      </c>
    </row>
    <row r="219" spans="1:15" ht="15.75" x14ac:dyDescent="0.25">
      <c r="A219" s="11" t="s">
        <v>114</v>
      </c>
      <c r="B219" s="12" t="s">
        <v>111</v>
      </c>
      <c r="C219" s="13">
        <v>205</v>
      </c>
      <c r="D219" s="25">
        <v>7.0000000000000007E-2</v>
      </c>
      <c r="E219" s="25">
        <v>0.02</v>
      </c>
      <c r="F219" s="25">
        <v>16.89</v>
      </c>
      <c r="G219" s="13">
        <f t="shared" ref="G219" si="60">4*(D219+F219)+(9*E219)</f>
        <v>68.02000000000001</v>
      </c>
      <c r="H219" s="25">
        <v>2.8000000000000001E-2</v>
      </c>
      <c r="I219" s="25">
        <v>0.04</v>
      </c>
      <c r="J219" s="25">
        <v>5</v>
      </c>
      <c r="K219" s="25">
        <v>0</v>
      </c>
      <c r="L219" s="25">
        <v>8.0500000000000007</v>
      </c>
      <c r="M219" s="25">
        <v>5.24</v>
      </c>
      <c r="N219" s="25">
        <v>9.7799999999999994</v>
      </c>
      <c r="O219" s="26">
        <v>0.19</v>
      </c>
    </row>
    <row r="220" spans="1:15" ht="16.5" thickBot="1" x14ac:dyDescent="0.3">
      <c r="A220" s="23"/>
      <c r="B220" s="12" t="s">
        <v>86</v>
      </c>
      <c r="C220" s="13">
        <v>25</v>
      </c>
      <c r="D220" s="13">
        <v>1.6</v>
      </c>
      <c r="E220" s="13">
        <v>0.2</v>
      </c>
      <c r="F220" s="13">
        <v>10.4</v>
      </c>
      <c r="G220" s="13">
        <f>4*(D220+F220)+(E220*9)</f>
        <v>49.8</v>
      </c>
      <c r="H220" s="13">
        <v>2.1999999999999999E-2</v>
      </c>
      <c r="I220" s="13">
        <v>0.01</v>
      </c>
      <c r="J220" s="13">
        <v>0</v>
      </c>
      <c r="K220" s="13">
        <v>0</v>
      </c>
      <c r="L220" s="13">
        <v>4.5999999999999996</v>
      </c>
      <c r="M220" s="13">
        <v>2.1</v>
      </c>
      <c r="N220" s="13">
        <v>21.2</v>
      </c>
      <c r="O220" s="14">
        <v>0.2</v>
      </c>
    </row>
    <row r="221" spans="1:15" ht="16.5" thickBot="1" x14ac:dyDescent="0.3">
      <c r="A221" s="90" t="s">
        <v>20</v>
      </c>
      <c r="B221" s="91"/>
      <c r="C221" s="9">
        <f t="shared" ref="C221:O221" si="61">SUM(C216:C220)</f>
        <v>560</v>
      </c>
      <c r="D221" s="9">
        <f t="shared" si="61"/>
        <v>20.96</v>
      </c>
      <c r="E221" s="9">
        <f t="shared" si="61"/>
        <v>18.059999999999999</v>
      </c>
      <c r="F221" s="61">
        <f t="shared" si="61"/>
        <v>89.54</v>
      </c>
      <c r="G221" s="9">
        <f t="shared" si="61"/>
        <v>604.54</v>
      </c>
      <c r="H221" s="62">
        <f t="shared" si="61"/>
        <v>0.23599999999999999</v>
      </c>
      <c r="I221" s="9">
        <f t="shared" si="61"/>
        <v>0.43999999999999995</v>
      </c>
      <c r="J221" s="9">
        <f t="shared" si="61"/>
        <v>15.049999999999999</v>
      </c>
      <c r="K221" s="9">
        <f t="shared" si="61"/>
        <v>267.3</v>
      </c>
      <c r="L221" s="9">
        <f t="shared" si="61"/>
        <v>252.54999999999998</v>
      </c>
      <c r="M221" s="9">
        <f t="shared" si="61"/>
        <v>57.440000000000005</v>
      </c>
      <c r="N221" s="9">
        <f t="shared" si="61"/>
        <v>235.77999999999997</v>
      </c>
      <c r="O221" s="10">
        <f t="shared" si="61"/>
        <v>4.9120000000000008</v>
      </c>
    </row>
    <row r="222" spans="1:15" ht="15.75" x14ac:dyDescent="0.25">
      <c r="A222" s="92" t="s">
        <v>48</v>
      </c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4"/>
    </row>
    <row r="223" spans="1:15" ht="15.75" x14ac:dyDescent="0.25">
      <c r="A223" s="11" t="s">
        <v>124</v>
      </c>
      <c r="B223" s="12" t="s">
        <v>156</v>
      </c>
      <c r="C223" s="13">
        <v>200</v>
      </c>
      <c r="D223" s="13">
        <v>6.84</v>
      </c>
      <c r="E223" s="13">
        <v>6.42</v>
      </c>
      <c r="F223" s="13">
        <v>32.130000000000003</v>
      </c>
      <c r="G223" s="13">
        <f>4*(D223+F223)+(9*E223)</f>
        <v>213.66</v>
      </c>
      <c r="H223" s="13">
        <v>0.16</v>
      </c>
      <c r="I223" s="13">
        <v>0.16</v>
      </c>
      <c r="J223" s="13">
        <v>0.06</v>
      </c>
      <c r="K223" s="13">
        <v>148.9</v>
      </c>
      <c r="L223" s="13">
        <v>104.3</v>
      </c>
      <c r="M223" s="13">
        <v>38.6</v>
      </c>
      <c r="N223" s="13">
        <v>82.1</v>
      </c>
      <c r="O223" s="14">
        <v>1.37</v>
      </c>
    </row>
    <row r="224" spans="1:15" ht="15.75" x14ac:dyDescent="0.25">
      <c r="A224" s="11" t="s">
        <v>88</v>
      </c>
      <c r="B224" s="12" t="s">
        <v>83</v>
      </c>
      <c r="C224" s="13">
        <v>50</v>
      </c>
      <c r="D224" s="13">
        <v>9.8000000000000007</v>
      </c>
      <c r="E224" s="13">
        <v>12.73</v>
      </c>
      <c r="F224" s="13">
        <v>29.16</v>
      </c>
      <c r="G224" s="13">
        <f t="shared" ref="G224" si="62">4*(D224+F224)+(E224*9)</f>
        <v>270.41000000000003</v>
      </c>
      <c r="H224" s="13">
        <v>6.0000000000000001E-3</v>
      </c>
      <c r="I224" s="13">
        <v>0.2</v>
      </c>
      <c r="J224" s="13">
        <v>8</v>
      </c>
      <c r="K224" s="13">
        <v>84</v>
      </c>
      <c r="L224" s="13">
        <v>120</v>
      </c>
      <c r="M224" s="13">
        <v>6.47</v>
      </c>
      <c r="N224" s="13">
        <v>120.87</v>
      </c>
      <c r="O224" s="14">
        <v>0.5</v>
      </c>
    </row>
    <row r="225" spans="1:15" ht="15.75" x14ac:dyDescent="0.25">
      <c r="A225" s="11"/>
      <c r="B225" s="24" t="s">
        <v>110</v>
      </c>
      <c r="C225" s="25">
        <v>100</v>
      </c>
      <c r="D225" s="25">
        <v>0.3</v>
      </c>
      <c r="E225" s="25">
        <v>0</v>
      </c>
      <c r="F225" s="25">
        <v>8.6</v>
      </c>
      <c r="G225" s="13">
        <f t="shared" ref="G225:G226" si="63">4*(D225+F225)+(9*E225)</f>
        <v>35.6</v>
      </c>
      <c r="H225" s="25">
        <v>0.03</v>
      </c>
      <c r="I225" s="25">
        <v>0.08</v>
      </c>
      <c r="J225" s="25">
        <v>6.4</v>
      </c>
      <c r="K225" s="25">
        <v>36</v>
      </c>
      <c r="L225" s="25">
        <v>16</v>
      </c>
      <c r="M225" s="25">
        <v>9</v>
      </c>
      <c r="N225" s="25">
        <v>11</v>
      </c>
      <c r="O225" s="26">
        <v>2.56</v>
      </c>
    </row>
    <row r="226" spans="1:15" ht="15.75" x14ac:dyDescent="0.25">
      <c r="A226" s="11" t="s">
        <v>114</v>
      </c>
      <c r="B226" s="12" t="s">
        <v>84</v>
      </c>
      <c r="C226" s="13">
        <v>200</v>
      </c>
      <c r="D226" s="13">
        <v>0.05</v>
      </c>
      <c r="E226" s="13">
        <v>0.02</v>
      </c>
      <c r="F226" s="13">
        <v>9.32</v>
      </c>
      <c r="G226" s="13">
        <f t="shared" si="63"/>
        <v>37.660000000000004</v>
      </c>
      <c r="H226" s="13">
        <v>0</v>
      </c>
      <c r="I226" s="13">
        <v>0</v>
      </c>
      <c r="J226" s="13">
        <v>0.02</v>
      </c>
      <c r="K226" s="13">
        <v>0</v>
      </c>
      <c r="L226" s="13">
        <v>8</v>
      </c>
      <c r="M226" s="13">
        <v>0.9</v>
      </c>
      <c r="N226" s="13">
        <v>1.6</v>
      </c>
      <c r="O226" s="14">
        <v>0.19</v>
      </c>
    </row>
    <row r="227" spans="1:15" ht="16.5" thickBot="1" x14ac:dyDescent="0.3">
      <c r="A227" s="11"/>
      <c r="B227" s="12" t="s">
        <v>86</v>
      </c>
      <c r="C227" s="13">
        <v>25</v>
      </c>
      <c r="D227" s="13">
        <v>1.6</v>
      </c>
      <c r="E227" s="13">
        <v>0.2</v>
      </c>
      <c r="F227" s="13">
        <v>10.4</v>
      </c>
      <c r="G227" s="13">
        <f>4*(D227+F227)+(E227*9)</f>
        <v>49.8</v>
      </c>
      <c r="H227" s="13">
        <v>2.1999999999999999E-2</v>
      </c>
      <c r="I227" s="13">
        <v>0.01</v>
      </c>
      <c r="J227" s="13">
        <v>0</v>
      </c>
      <c r="K227" s="13">
        <v>0</v>
      </c>
      <c r="L227" s="13">
        <v>4.5999999999999996</v>
      </c>
      <c r="M227" s="13">
        <v>2.1</v>
      </c>
      <c r="N227" s="13">
        <v>21.2</v>
      </c>
      <c r="O227" s="14">
        <v>0.2</v>
      </c>
    </row>
    <row r="228" spans="1:15" ht="16.5" thickBot="1" x14ac:dyDescent="0.3">
      <c r="A228" s="90" t="s">
        <v>20</v>
      </c>
      <c r="B228" s="91"/>
      <c r="C228" s="9">
        <f>SUM(C223:C227)</f>
        <v>575</v>
      </c>
      <c r="D228" s="75">
        <f t="shared" ref="D228:O228" si="64">SUM(D223:D227)</f>
        <v>18.590000000000003</v>
      </c>
      <c r="E228" s="75">
        <f t="shared" si="64"/>
        <v>19.369999999999997</v>
      </c>
      <c r="F228" s="75">
        <f t="shared" si="64"/>
        <v>89.610000000000014</v>
      </c>
      <c r="G228" s="75">
        <f t="shared" si="64"/>
        <v>607.13</v>
      </c>
      <c r="H228" s="9">
        <f t="shared" si="64"/>
        <v>0.218</v>
      </c>
      <c r="I228" s="9">
        <f t="shared" si="64"/>
        <v>0.45</v>
      </c>
      <c r="J228" s="9">
        <f t="shared" si="64"/>
        <v>14.48</v>
      </c>
      <c r="K228" s="9">
        <f t="shared" si="64"/>
        <v>268.89999999999998</v>
      </c>
      <c r="L228" s="9">
        <f t="shared" si="64"/>
        <v>252.9</v>
      </c>
      <c r="M228" s="9">
        <f t="shared" si="64"/>
        <v>57.07</v>
      </c>
      <c r="N228" s="9">
        <f t="shared" si="64"/>
        <v>236.76999999999998</v>
      </c>
      <c r="O228" s="10">
        <f t="shared" si="64"/>
        <v>4.82</v>
      </c>
    </row>
    <row r="229" spans="1:15" ht="15.75" x14ac:dyDescent="0.25">
      <c r="A229" s="92" t="s">
        <v>21</v>
      </c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4"/>
    </row>
    <row r="230" spans="1:15" ht="31.5" x14ac:dyDescent="0.25">
      <c r="A230" s="39" t="s">
        <v>145</v>
      </c>
      <c r="B230" s="46" t="s">
        <v>141</v>
      </c>
      <c r="C230" s="41">
        <v>250</v>
      </c>
      <c r="D230" s="41">
        <v>10.6</v>
      </c>
      <c r="E230" s="41">
        <v>12.8</v>
      </c>
      <c r="F230" s="41">
        <v>29.7</v>
      </c>
      <c r="G230" s="41">
        <f>4*(D230+F230)+(9*E230)</f>
        <v>276.39999999999998</v>
      </c>
      <c r="H230" s="41">
        <v>0.10199999999999999</v>
      </c>
      <c r="I230" s="41">
        <v>0.19</v>
      </c>
      <c r="J230" s="41">
        <v>13</v>
      </c>
      <c r="K230" s="41">
        <v>156</v>
      </c>
      <c r="L230" s="41">
        <v>164.5</v>
      </c>
      <c r="M230" s="41">
        <v>32.4</v>
      </c>
      <c r="N230" s="41">
        <v>146.4</v>
      </c>
      <c r="O230" s="42">
        <v>1.163</v>
      </c>
    </row>
    <row r="231" spans="1:15" ht="31.5" x14ac:dyDescent="0.25">
      <c r="A231" s="45" t="s">
        <v>146</v>
      </c>
      <c r="B231" s="46" t="s">
        <v>233</v>
      </c>
      <c r="C231" s="47">
        <v>100</v>
      </c>
      <c r="D231" s="47">
        <v>12.41</v>
      </c>
      <c r="E231" s="47">
        <v>11.64</v>
      </c>
      <c r="F231" s="47">
        <v>16.7</v>
      </c>
      <c r="G231" s="47">
        <f t="shared" ref="G231:G235" si="65">4*(D231+F231)+(9*E231)</f>
        <v>221.2</v>
      </c>
      <c r="H231" s="47">
        <v>0.24</v>
      </c>
      <c r="I231" s="47">
        <v>0.03</v>
      </c>
      <c r="J231" s="47">
        <v>4.5599999999999996</v>
      </c>
      <c r="K231" s="47">
        <v>107.11</v>
      </c>
      <c r="L231" s="47">
        <v>188.5</v>
      </c>
      <c r="M231" s="47">
        <v>69.8</v>
      </c>
      <c r="N231" s="47">
        <v>171.6</v>
      </c>
      <c r="O231" s="48">
        <v>3.5</v>
      </c>
    </row>
    <row r="232" spans="1:15" ht="31.5" x14ac:dyDescent="0.25">
      <c r="A232" s="39" t="s">
        <v>232</v>
      </c>
      <c r="B232" s="46" t="s">
        <v>253</v>
      </c>
      <c r="C232" s="50">
        <v>220</v>
      </c>
      <c r="D232" s="41">
        <v>8.4</v>
      </c>
      <c r="E232" s="41">
        <v>10.7</v>
      </c>
      <c r="F232" s="41">
        <v>51.49</v>
      </c>
      <c r="G232" s="41">
        <f t="shared" si="65"/>
        <v>335.86</v>
      </c>
      <c r="H232" s="41">
        <v>0.2</v>
      </c>
      <c r="I232" s="41">
        <v>0.27</v>
      </c>
      <c r="J232" s="41">
        <v>3.07</v>
      </c>
      <c r="K232" s="41">
        <v>9.1999999999999993</v>
      </c>
      <c r="L232" s="41">
        <v>76.3</v>
      </c>
      <c r="M232" s="41">
        <v>10.5</v>
      </c>
      <c r="N232" s="41">
        <v>102.11</v>
      </c>
      <c r="O232" s="42">
        <v>0.83</v>
      </c>
    </row>
    <row r="233" spans="1:15" ht="15.75" x14ac:dyDescent="0.25">
      <c r="A233" s="11" t="s">
        <v>105</v>
      </c>
      <c r="B233" s="12" t="s">
        <v>142</v>
      </c>
      <c r="C233" s="13">
        <v>180</v>
      </c>
      <c r="D233" s="13">
        <v>0.125</v>
      </c>
      <c r="E233" s="13">
        <v>0</v>
      </c>
      <c r="F233" s="13">
        <v>25.15</v>
      </c>
      <c r="G233" s="13">
        <f t="shared" si="65"/>
        <v>101.1</v>
      </c>
      <c r="H233" s="13">
        <v>0.03</v>
      </c>
      <c r="I233" s="13">
        <v>0</v>
      </c>
      <c r="J233" s="13">
        <v>7</v>
      </c>
      <c r="K233" s="13">
        <v>0</v>
      </c>
      <c r="L233" s="13">
        <v>28.6</v>
      </c>
      <c r="M233" s="13">
        <v>5.66</v>
      </c>
      <c r="N233" s="13">
        <v>29.67</v>
      </c>
      <c r="O233" s="14">
        <v>6.2E-2</v>
      </c>
    </row>
    <row r="234" spans="1:15" ht="15.75" x14ac:dyDescent="0.25">
      <c r="A234" s="11"/>
      <c r="B234" s="12" t="s">
        <v>86</v>
      </c>
      <c r="C234" s="13">
        <v>25</v>
      </c>
      <c r="D234" s="13">
        <v>1.6</v>
      </c>
      <c r="E234" s="13">
        <v>0.2</v>
      </c>
      <c r="F234" s="13">
        <v>10.4</v>
      </c>
      <c r="G234" s="13">
        <f t="shared" si="65"/>
        <v>49.8</v>
      </c>
      <c r="H234" s="13">
        <v>2.1999999999999999E-2</v>
      </c>
      <c r="I234" s="13">
        <v>0.01</v>
      </c>
      <c r="J234" s="13">
        <v>0</v>
      </c>
      <c r="K234" s="13">
        <v>0</v>
      </c>
      <c r="L234" s="13">
        <v>4.5999999999999996</v>
      </c>
      <c r="M234" s="13">
        <v>2.1</v>
      </c>
      <c r="N234" s="13">
        <v>21.2</v>
      </c>
      <c r="O234" s="14">
        <v>0.2</v>
      </c>
    </row>
    <row r="235" spans="1:15" ht="16.5" thickBot="1" x14ac:dyDescent="0.3">
      <c r="A235" s="11"/>
      <c r="B235" s="24" t="s">
        <v>92</v>
      </c>
      <c r="C235" s="25">
        <v>25</v>
      </c>
      <c r="D235" s="13">
        <v>1.3</v>
      </c>
      <c r="E235" s="13">
        <v>0.2</v>
      </c>
      <c r="F235" s="13">
        <v>8.1999999999999993</v>
      </c>
      <c r="G235" s="13">
        <f t="shared" si="65"/>
        <v>39.799999999999997</v>
      </c>
      <c r="H235" s="13">
        <v>2.1999999999999999E-2</v>
      </c>
      <c r="I235" s="13">
        <v>0.01</v>
      </c>
      <c r="J235" s="13">
        <v>0</v>
      </c>
      <c r="K235" s="13">
        <v>0</v>
      </c>
      <c r="L235" s="13">
        <v>5</v>
      </c>
      <c r="M235" s="13">
        <v>2.8</v>
      </c>
      <c r="N235" s="13">
        <v>13</v>
      </c>
      <c r="O235" s="14">
        <v>0.22</v>
      </c>
    </row>
    <row r="236" spans="1:15" ht="16.5" thickBot="1" x14ac:dyDescent="0.3">
      <c r="A236" s="90" t="s">
        <v>20</v>
      </c>
      <c r="B236" s="91"/>
      <c r="C236" s="9">
        <f>SUM(C230:C235)</f>
        <v>800</v>
      </c>
      <c r="D236" s="9">
        <f t="shared" ref="D236:O236" si="66">SUM(D230:D235)</f>
        <v>34.434999999999995</v>
      </c>
      <c r="E236" s="9">
        <f t="shared" si="66"/>
        <v>35.540000000000006</v>
      </c>
      <c r="F236" s="9">
        <f t="shared" si="66"/>
        <v>141.63999999999999</v>
      </c>
      <c r="G236" s="9">
        <f t="shared" si="66"/>
        <v>1024.1600000000001</v>
      </c>
      <c r="H236" s="9">
        <f t="shared" si="66"/>
        <v>0.6160000000000001</v>
      </c>
      <c r="I236" s="9">
        <f t="shared" si="66"/>
        <v>0.51</v>
      </c>
      <c r="J236" s="9">
        <f t="shared" si="66"/>
        <v>27.63</v>
      </c>
      <c r="K236" s="9">
        <f t="shared" si="66"/>
        <v>272.31</v>
      </c>
      <c r="L236" s="9">
        <f t="shared" si="66"/>
        <v>467.50000000000006</v>
      </c>
      <c r="M236" s="9">
        <f t="shared" si="66"/>
        <v>123.25999999999998</v>
      </c>
      <c r="N236" s="9">
        <f t="shared" si="66"/>
        <v>483.98</v>
      </c>
      <c r="O236" s="10">
        <f t="shared" si="66"/>
        <v>5.9750000000000005</v>
      </c>
    </row>
    <row r="237" spans="1:15" ht="16.5" thickBot="1" x14ac:dyDescent="0.3">
      <c r="A237" s="28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30"/>
    </row>
    <row r="238" spans="1:15" ht="15.75" x14ac:dyDescent="0.25">
      <c r="A238" s="144" t="s">
        <v>61</v>
      </c>
      <c r="B238" s="145"/>
      <c r="C238" s="67">
        <f t="shared" ref="C238:O238" si="67">C221+C236</f>
        <v>1360</v>
      </c>
      <c r="D238" s="78">
        <f t="shared" si="67"/>
        <v>55.394999999999996</v>
      </c>
      <c r="E238" s="68">
        <f t="shared" si="67"/>
        <v>53.600000000000009</v>
      </c>
      <c r="F238" s="68">
        <f t="shared" si="67"/>
        <v>231.18</v>
      </c>
      <c r="G238" s="68">
        <f t="shared" si="67"/>
        <v>1628.7</v>
      </c>
      <c r="H238" s="67">
        <f t="shared" si="67"/>
        <v>0.85200000000000009</v>
      </c>
      <c r="I238" s="67">
        <f t="shared" si="67"/>
        <v>0.95</v>
      </c>
      <c r="J238" s="67">
        <f t="shared" si="67"/>
        <v>42.68</v>
      </c>
      <c r="K238" s="79">
        <f t="shared" si="67"/>
        <v>539.61</v>
      </c>
      <c r="L238" s="67">
        <f t="shared" si="67"/>
        <v>720.05000000000007</v>
      </c>
      <c r="M238" s="67">
        <f t="shared" si="67"/>
        <v>180.7</v>
      </c>
      <c r="N238" s="67">
        <f t="shared" si="67"/>
        <v>719.76</v>
      </c>
      <c r="O238" s="69">
        <f t="shared" si="67"/>
        <v>10.887</v>
      </c>
    </row>
    <row r="239" spans="1:15" ht="16.5" thickBot="1" x14ac:dyDescent="0.3">
      <c r="A239" s="146" t="s">
        <v>62</v>
      </c>
      <c r="B239" s="147"/>
      <c r="C239" s="70">
        <f t="shared" ref="C239:O239" si="68">C228+C236</f>
        <v>1375</v>
      </c>
      <c r="D239" s="76">
        <f t="shared" si="68"/>
        <v>53.024999999999999</v>
      </c>
      <c r="E239" s="76">
        <f t="shared" si="68"/>
        <v>54.910000000000004</v>
      </c>
      <c r="F239" s="76">
        <f t="shared" si="68"/>
        <v>231.25</v>
      </c>
      <c r="G239" s="76">
        <f t="shared" si="68"/>
        <v>1631.29</v>
      </c>
      <c r="H239" s="70">
        <f t="shared" si="68"/>
        <v>0.83400000000000007</v>
      </c>
      <c r="I239" s="70">
        <f t="shared" si="68"/>
        <v>0.96</v>
      </c>
      <c r="J239" s="70">
        <f t="shared" si="68"/>
        <v>42.11</v>
      </c>
      <c r="K239" s="77">
        <f t="shared" si="68"/>
        <v>541.21</v>
      </c>
      <c r="L239" s="70">
        <f t="shared" si="68"/>
        <v>720.40000000000009</v>
      </c>
      <c r="M239" s="70">
        <f t="shared" si="68"/>
        <v>180.32999999999998</v>
      </c>
      <c r="N239" s="70">
        <f t="shared" si="68"/>
        <v>720.75</v>
      </c>
      <c r="O239" s="72">
        <f t="shared" si="68"/>
        <v>10.795000000000002</v>
      </c>
    </row>
    <row r="240" spans="1:15" s="1" customFormat="1" ht="15.75" x14ac:dyDescent="0.25">
      <c r="A240" s="32"/>
      <c r="B240" s="32"/>
      <c r="C240" s="34"/>
      <c r="D240" s="33"/>
      <c r="E240" s="33"/>
      <c r="F240" s="33"/>
      <c r="G240" s="33"/>
      <c r="H240" s="34"/>
      <c r="I240" s="34"/>
      <c r="J240" s="34"/>
      <c r="K240" s="33"/>
      <c r="L240" s="34"/>
      <c r="M240" s="34"/>
      <c r="N240" s="34"/>
      <c r="O240" s="34"/>
    </row>
    <row r="241" spans="1:15" s="1" customFormat="1" ht="15.75" x14ac:dyDescent="0.25">
      <c r="A241" s="32"/>
      <c r="B241" s="32"/>
      <c r="C241" s="34"/>
      <c r="D241" s="33"/>
      <c r="E241" s="33"/>
      <c r="F241" s="33"/>
      <c r="G241" s="33"/>
      <c r="H241" s="34"/>
      <c r="I241" s="34"/>
      <c r="J241" s="34"/>
      <c r="K241" s="33"/>
      <c r="L241" s="34"/>
      <c r="M241" s="34"/>
      <c r="N241" s="34"/>
      <c r="O241" s="34"/>
    </row>
    <row r="242" spans="1:15" s="1" customFormat="1" ht="15.75" x14ac:dyDescent="0.25">
      <c r="A242" s="32"/>
      <c r="B242" s="32"/>
      <c r="C242" s="34"/>
      <c r="D242" s="33"/>
      <c r="E242" s="33"/>
      <c r="F242" s="33"/>
      <c r="G242" s="33"/>
      <c r="H242" s="34"/>
      <c r="I242" s="34"/>
      <c r="J242" s="34"/>
      <c r="K242" s="33"/>
      <c r="L242" s="34"/>
      <c r="M242" s="34"/>
      <c r="N242" s="34"/>
      <c r="O242" s="34"/>
    </row>
    <row r="243" spans="1:15" s="1" customFormat="1" x14ac:dyDescent="0.25">
      <c r="A243" s="87" t="s">
        <v>210</v>
      </c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</row>
    <row r="244" spans="1:15" s="1" customFormat="1" ht="15.75" x14ac:dyDescent="0.25">
      <c r="A244" s="32"/>
      <c r="B244" s="32"/>
      <c r="C244" s="34"/>
      <c r="D244" s="33"/>
      <c r="E244" s="33"/>
      <c r="F244" s="33"/>
      <c r="G244" s="33"/>
      <c r="H244" s="34"/>
      <c r="I244" s="34"/>
      <c r="J244" s="34"/>
      <c r="K244" s="33"/>
      <c r="L244" s="34"/>
      <c r="M244" s="34"/>
      <c r="N244" s="34"/>
      <c r="O244" s="34"/>
    </row>
    <row r="245" spans="1:15" s="1" customFormat="1" ht="15.75" x14ac:dyDescent="0.25">
      <c r="A245" s="151" t="s">
        <v>207</v>
      </c>
      <c r="B245" s="151"/>
      <c r="C245" s="151"/>
      <c r="D245" s="151"/>
      <c r="E245" s="151"/>
      <c r="F245" s="151"/>
      <c r="G245" s="151"/>
      <c r="H245" s="151"/>
      <c r="I245" s="151"/>
      <c r="J245" s="151"/>
      <c r="K245" s="151"/>
      <c r="L245" s="151"/>
      <c r="M245" s="151"/>
      <c r="N245" s="151"/>
      <c r="O245" s="151"/>
    </row>
    <row r="246" spans="1:15" s="1" customFormat="1" ht="16.5" thickBot="1" x14ac:dyDescent="0.3">
      <c r="A246" s="32"/>
      <c r="B246" s="32"/>
      <c r="C246" s="34"/>
      <c r="D246" s="33"/>
      <c r="E246" s="33"/>
      <c r="F246" s="33"/>
      <c r="G246" s="33"/>
      <c r="H246" s="34"/>
      <c r="I246" s="34"/>
      <c r="J246" s="34"/>
      <c r="K246" s="33"/>
      <c r="L246" s="34"/>
      <c r="M246" s="34"/>
      <c r="N246" s="34"/>
      <c r="O246" s="34"/>
    </row>
    <row r="247" spans="1:15" s="1" customFormat="1" ht="15" customHeight="1" x14ac:dyDescent="0.25">
      <c r="A247" s="98" t="s">
        <v>0</v>
      </c>
      <c r="B247" s="100" t="s">
        <v>1</v>
      </c>
      <c r="C247" s="102" t="s">
        <v>2</v>
      </c>
      <c r="D247" s="104" t="s">
        <v>3</v>
      </c>
      <c r="E247" s="105"/>
      <c r="F247" s="106"/>
      <c r="G247" s="102" t="s">
        <v>4</v>
      </c>
      <c r="H247" s="107" t="s">
        <v>5</v>
      </c>
      <c r="I247" s="107"/>
      <c r="J247" s="107"/>
      <c r="K247" s="107"/>
      <c r="L247" s="108" t="s">
        <v>6</v>
      </c>
      <c r="M247" s="109"/>
      <c r="N247" s="109"/>
      <c r="O247" s="110"/>
    </row>
    <row r="248" spans="1:15" ht="51" customHeight="1" thickBot="1" x14ac:dyDescent="0.3">
      <c r="A248" s="99"/>
      <c r="B248" s="101"/>
      <c r="C248" s="103"/>
      <c r="D248" s="35" t="s">
        <v>7</v>
      </c>
      <c r="E248" s="35" t="s">
        <v>8</v>
      </c>
      <c r="F248" s="35" t="s">
        <v>9</v>
      </c>
      <c r="G248" s="103"/>
      <c r="H248" s="36" t="s">
        <v>10</v>
      </c>
      <c r="I248" s="36" t="s">
        <v>16</v>
      </c>
      <c r="J248" s="36" t="s">
        <v>11</v>
      </c>
      <c r="K248" s="36" t="s">
        <v>17</v>
      </c>
      <c r="L248" s="37" t="s">
        <v>12</v>
      </c>
      <c r="M248" s="36" t="s">
        <v>13</v>
      </c>
      <c r="N248" s="36" t="s">
        <v>14</v>
      </c>
      <c r="O248" s="38" t="s">
        <v>15</v>
      </c>
    </row>
    <row r="249" spans="1:15" ht="16.5" thickBot="1" x14ac:dyDescent="0.3">
      <c r="A249" s="148" t="s">
        <v>32</v>
      </c>
      <c r="B249" s="149"/>
      <c r="C249" s="149"/>
      <c r="D249" s="149"/>
      <c r="E249" s="149"/>
      <c r="F249" s="149"/>
      <c r="G249" s="149"/>
      <c r="H249" s="149"/>
      <c r="I249" s="149"/>
      <c r="J249" s="149"/>
      <c r="K249" s="149"/>
      <c r="L249" s="149"/>
      <c r="M249" s="149"/>
      <c r="N249" s="149"/>
      <c r="O249" s="150"/>
    </row>
    <row r="250" spans="1:15" ht="15.75" x14ac:dyDescent="0.25">
      <c r="A250" s="92" t="s">
        <v>47</v>
      </c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4"/>
    </row>
    <row r="251" spans="1:15" ht="15.75" x14ac:dyDescent="0.25">
      <c r="A251" s="11" t="s">
        <v>195</v>
      </c>
      <c r="B251" s="12" t="s">
        <v>254</v>
      </c>
      <c r="C251" s="13">
        <v>100</v>
      </c>
      <c r="D251" s="13">
        <v>10.4</v>
      </c>
      <c r="E251" s="13">
        <v>11.94</v>
      </c>
      <c r="F251" s="13">
        <v>17.399999999999999</v>
      </c>
      <c r="G251" s="41">
        <f t="shared" ref="G251" si="69">4*(D251+F251)+(E251*9)</f>
        <v>218.65999999999997</v>
      </c>
      <c r="H251" s="13">
        <v>0.16</v>
      </c>
      <c r="I251" s="13">
        <v>0.14000000000000001</v>
      </c>
      <c r="J251" s="13">
        <v>4</v>
      </c>
      <c r="K251" s="13">
        <v>132</v>
      </c>
      <c r="L251" s="13">
        <v>141.30000000000001</v>
      </c>
      <c r="M251" s="13">
        <v>19.600000000000001</v>
      </c>
      <c r="N251" s="13">
        <v>107.4</v>
      </c>
      <c r="O251" s="14">
        <v>0.123</v>
      </c>
    </row>
    <row r="252" spans="1:15" ht="31.5" x14ac:dyDescent="0.25">
      <c r="A252" s="80" t="s">
        <v>104</v>
      </c>
      <c r="B252" s="46" t="s">
        <v>255</v>
      </c>
      <c r="C252" s="41">
        <v>180</v>
      </c>
      <c r="D252" s="41">
        <v>7.3</v>
      </c>
      <c r="E252" s="41">
        <v>7.2</v>
      </c>
      <c r="F252" s="41">
        <v>37.299999999999997</v>
      </c>
      <c r="G252" s="41">
        <f t="shared" ref="G252:G255" si="70">4*(D252+F252)+(9*E252)</f>
        <v>243.2</v>
      </c>
      <c r="H252" s="41">
        <v>0</v>
      </c>
      <c r="I252" s="41">
        <v>1.7999999999999999E-2</v>
      </c>
      <c r="J252" s="41">
        <v>0</v>
      </c>
      <c r="K252" s="41">
        <v>0</v>
      </c>
      <c r="L252" s="41">
        <v>95.35</v>
      </c>
      <c r="M252" s="41">
        <v>11.4</v>
      </c>
      <c r="N252" s="41">
        <v>71.239999999999995</v>
      </c>
      <c r="O252" s="42">
        <v>2.46</v>
      </c>
    </row>
    <row r="253" spans="1:15" ht="15.75" x14ac:dyDescent="0.25">
      <c r="A253" s="11"/>
      <c r="B253" s="24" t="s">
        <v>110</v>
      </c>
      <c r="C253" s="25">
        <v>100</v>
      </c>
      <c r="D253" s="25">
        <v>0.3</v>
      </c>
      <c r="E253" s="25">
        <v>0</v>
      </c>
      <c r="F253" s="25">
        <v>8.6</v>
      </c>
      <c r="G253" s="13">
        <f t="shared" si="70"/>
        <v>35.6</v>
      </c>
      <c r="H253" s="25">
        <v>0.03</v>
      </c>
      <c r="I253" s="25">
        <v>0.08</v>
      </c>
      <c r="J253" s="25">
        <v>6.4</v>
      </c>
      <c r="K253" s="25">
        <v>36</v>
      </c>
      <c r="L253" s="25">
        <v>16</v>
      </c>
      <c r="M253" s="25">
        <v>9</v>
      </c>
      <c r="N253" s="25">
        <v>11</v>
      </c>
      <c r="O253" s="26">
        <v>1.77</v>
      </c>
    </row>
    <row r="254" spans="1:15" ht="15.75" x14ac:dyDescent="0.25">
      <c r="A254" s="11"/>
      <c r="B254" s="12" t="s">
        <v>250</v>
      </c>
      <c r="C254" s="49">
        <v>180</v>
      </c>
      <c r="D254" s="13">
        <v>0.2</v>
      </c>
      <c r="E254" s="13">
        <v>2</v>
      </c>
      <c r="F254" s="13">
        <v>11.48</v>
      </c>
      <c r="G254" s="13">
        <f t="shared" si="70"/>
        <v>64.72</v>
      </c>
      <c r="H254" s="13">
        <v>0.25</v>
      </c>
      <c r="I254" s="13">
        <v>0.14000000000000001</v>
      </c>
      <c r="J254" s="13">
        <v>8</v>
      </c>
      <c r="K254" s="13">
        <v>34.799999999999997</v>
      </c>
      <c r="L254" s="13">
        <v>23.05</v>
      </c>
      <c r="M254" s="13">
        <v>3.24</v>
      </c>
      <c r="N254" s="13">
        <v>9.7799999999999994</v>
      </c>
      <c r="O254" s="14">
        <v>0.32100000000000001</v>
      </c>
    </row>
    <row r="255" spans="1:15" ht="16.5" thickBot="1" x14ac:dyDescent="0.3">
      <c r="A255" s="11"/>
      <c r="B255" s="12" t="s">
        <v>86</v>
      </c>
      <c r="C255" s="13">
        <v>25</v>
      </c>
      <c r="D255" s="13">
        <v>1.6</v>
      </c>
      <c r="E255" s="13">
        <v>0.2</v>
      </c>
      <c r="F255" s="13">
        <v>10.4</v>
      </c>
      <c r="G255" s="13">
        <f t="shared" si="70"/>
        <v>49.8</v>
      </c>
      <c r="H255" s="13">
        <v>2.1999999999999999E-2</v>
      </c>
      <c r="I255" s="13">
        <v>0.01</v>
      </c>
      <c r="J255" s="13">
        <v>0</v>
      </c>
      <c r="K255" s="13">
        <v>0</v>
      </c>
      <c r="L255" s="13">
        <v>4.5999999999999996</v>
      </c>
      <c r="M255" s="13">
        <v>2.1</v>
      </c>
      <c r="N255" s="13">
        <v>21.2</v>
      </c>
      <c r="O255" s="14">
        <v>0.2</v>
      </c>
    </row>
    <row r="256" spans="1:15" ht="16.5" thickBot="1" x14ac:dyDescent="0.3">
      <c r="A256" s="90" t="s">
        <v>20</v>
      </c>
      <c r="B256" s="91"/>
      <c r="C256" s="9">
        <f t="shared" ref="C256:O256" si="71">SUM(C251:C255)</f>
        <v>585</v>
      </c>
      <c r="D256" s="9">
        <f t="shared" si="71"/>
        <v>19.8</v>
      </c>
      <c r="E256" s="9">
        <f t="shared" si="71"/>
        <v>21.34</v>
      </c>
      <c r="F256" s="61">
        <f t="shared" si="71"/>
        <v>85.18</v>
      </c>
      <c r="G256" s="9">
        <f t="shared" si="71"/>
        <v>611.9799999999999</v>
      </c>
      <c r="H256" s="62">
        <f t="shared" si="71"/>
        <v>0.46200000000000002</v>
      </c>
      <c r="I256" s="9">
        <f t="shared" si="71"/>
        <v>0.38800000000000001</v>
      </c>
      <c r="J256" s="9">
        <f t="shared" si="71"/>
        <v>18.399999999999999</v>
      </c>
      <c r="K256" s="9">
        <f t="shared" si="71"/>
        <v>202.8</v>
      </c>
      <c r="L256" s="9">
        <f t="shared" si="71"/>
        <v>280.3</v>
      </c>
      <c r="M256" s="9">
        <f t="shared" si="71"/>
        <v>45.34</v>
      </c>
      <c r="N256" s="9">
        <f t="shared" si="71"/>
        <v>220.61999999999998</v>
      </c>
      <c r="O256" s="10">
        <f t="shared" si="71"/>
        <v>4.8739999999999997</v>
      </c>
    </row>
    <row r="257" spans="1:15" ht="15.75" x14ac:dyDescent="0.25">
      <c r="A257" s="92" t="s">
        <v>48</v>
      </c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4"/>
    </row>
    <row r="258" spans="1:15" ht="15.75" x14ac:dyDescent="0.25">
      <c r="A258" s="11" t="s">
        <v>174</v>
      </c>
      <c r="B258" s="12" t="s">
        <v>171</v>
      </c>
      <c r="C258" s="49">
        <v>100</v>
      </c>
      <c r="D258" s="74">
        <f>18.41*0.45</f>
        <v>8.2844999999999995</v>
      </c>
      <c r="E258" s="64">
        <f>14.89*0.45</f>
        <v>6.7005000000000008</v>
      </c>
      <c r="F258" s="64">
        <v>8.4</v>
      </c>
      <c r="G258" s="64">
        <f>4*(D258+F258)+(9*E258)</f>
        <v>127.0425</v>
      </c>
      <c r="H258" s="59">
        <v>0.28000000000000003</v>
      </c>
      <c r="I258" s="59">
        <v>0.18</v>
      </c>
      <c r="J258" s="59">
        <v>12.02</v>
      </c>
      <c r="K258" s="59">
        <v>131.1</v>
      </c>
      <c r="L258" s="59">
        <v>91.12</v>
      </c>
      <c r="M258" s="59">
        <v>20.22</v>
      </c>
      <c r="N258" s="59">
        <v>89.96</v>
      </c>
      <c r="O258" s="60">
        <v>1.72</v>
      </c>
    </row>
    <row r="259" spans="1:15" ht="31.5" x14ac:dyDescent="0.25">
      <c r="A259" s="80" t="s">
        <v>104</v>
      </c>
      <c r="B259" s="46" t="s">
        <v>255</v>
      </c>
      <c r="C259" s="41">
        <v>180</v>
      </c>
      <c r="D259" s="41">
        <v>7.3</v>
      </c>
      <c r="E259" s="41">
        <v>7.2</v>
      </c>
      <c r="F259" s="41">
        <v>37.299999999999997</v>
      </c>
      <c r="G259" s="41">
        <f t="shared" ref="G259" si="72">4*(D259+F259)+(9*E259)</f>
        <v>243.2</v>
      </c>
      <c r="H259" s="41">
        <v>0</v>
      </c>
      <c r="I259" s="41">
        <v>1.7999999999999999E-2</v>
      </c>
      <c r="J259" s="41">
        <v>0</v>
      </c>
      <c r="K259" s="41">
        <v>0</v>
      </c>
      <c r="L259" s="41">
        <v>95.35</v>
      </c>
      <c r="M259" s="41">
        <v>11.4</v>
      </c>
      <c r="N259" s="41">
        <v>71.239999999999995</v>
      </c>
      <c r="O259" s="42">
        <v>2.46</v>
      </c>
    </row>
    <row r="260" spans="1:15" ht="15.75" x14ac:dyDescent="0.25">
      <c r="A260" s="11" t="s">
        <v>89</v>
      </c>
      <c r="B260" s="12" t="s">
        <v>84</v>
      </c>
      <c r="C260" s="13">
        <v>200</v>
      </c>
      <c r="D260" s="13">
        <v>0.05</v>
      </c>
      <c r="E260" s="13">
        <v>0.02</v>
      </c>
      <c r="F260" s="13">
        <v>9.32</v>
      </c>
      <c r="G260" s="13">
        <f t="shared" ref="G260" si="73">4*(D260+F260)+(E260*9)</f>
        <v>37.660000000000004</v>
      </c>
      <c r="H260" s="13">
        <v>0</v>
      </c>
      <c r="I260" s="13">
        <v>0</v>
      </c>
      <c r="J260" s="13">
        <v>0.02</v>
      </c>
      <c r="K260" s="13">
        <v>0</v>
      </c>
      <c r="L260" s="13">
        <v>8</v>
      </c>
      <c r="M260" s="13">
        <v>0.9</v>
      </c>
      <c r="N260" s="13">
        <v>1.6</v>
      </c>
      <c r="O260" s="14">
        <v>0.19</v>
      </c>
    </row>
    <row r="261" spans="1:15" ht="15.75" x14ac:dyDescent="0.25">
      <c r="A261" s="11"/>
      <c r="B261" s="12" t="s">
        <v>256</v>
      </c>
      <c r="C261" s="13">
        <v>40</v>
      </c>
      <c r="D261" s="13">
        <v>3.46</v>
      </c>
      <c r="E261" s="13">
        <v>6.89</v>
      </c>
      <c r="F261" s="13">
        <v>20.38</v>
      </c>
      <c r="G261" s="13">
        <f>4*(D261+F261)+(9*E261)</f>
        <v>157.37</v>
      </c>
      <c r="H261" s="13">
        <v>0.16</v>
      </c>
      <c r="I261" s="13">
        <v>0.2</v>
      </c>
      <c r="J261" s="13">
        <v>6</v>
      </c>
      <c r="K261" s="13">
        <v>72</v>
      </c>
      <c r="L261" s="13">
        <v>81</v>
      </c>
      <c r="M261" s="13">
        <v>9.1999999999999993</v>
      </c>
      <c r="N261" s="13">
        <v>41.7</v>
      </c>
      <c r="O261" s="14">
        <v>0.48</v>
      </c>
    </row>
    <row r="262" spans="1:15" ht="16.5" thickBot="1" x14ac:dyDescent="0.3">
      <c r="A262" s="11"/>
      <c r="B262" s="12" t="s">
        <v>86</v>
      </c>
      <c r="C262" s="13">
        <v>25</v>
      </c>
      <c r="D262" s="13">
        <v>1.6</v>
      </c>
      <c r="E262" s="13">
        <v>0.2</v>
      </c>
      <c r="F262" s="13">
        <v>10.4</v>
      </c>
      <c r="G262" s="13">
        <f t="shared" ref="G262" si="74">4*(D262+F262)+(E262*9)</f>
        <v>49.8</v>
      </c>
      <c r="H262" s="13">
        <v>2.1999999999999999E-2</v>
      </c>
      <c r="I262" s="13">
        <v>0.01</v>
      </c>
      <c r="J262" s="13">
        <v>0</v>
      </c>
      <c r="K262" s="13">
        <v>0</v>
      </c>
      <c r="L262" s="13">
        <v>4.5999999999999996</v>
      </c>
      <c r="M262" s="13">
        <v>2.1</v>
      </c>
      <c r="N262" s="13">
        <v>21.2</v>
      </c>
      <c r="O262" s="14">
        <v>0.2</v>
      </c>
    </row>
    <row r="263" spans="1:15" ht="16.5" thickBot="1" x14ac:dyDescent="0.3">
      <c r="A263" s="90" t="s">
        <v>20</v>
      </c>
      <c r="B263" s="91"/>
      <c r="C263" s="9">
        <f>SUM(C258:C262)</f>
        <v>545</v>
      </c>
      <c r="D263" s="9">
        <f t="shared" ref="D263:O263" si="75">SUM(D258:D262)</f>
        <v>20.694500000000001</v>
      </c>
      <c r="E263" s="9">
        <f t="shared" si="75"/>
        <v>21.0105</v>
      </c>
      <c r="F263" s="9">
        <f t="shared" si="75"/>
        <v>85.8</v>
      </c>
      <c r="G263" s="9">
        <f t="shared" si="75"/>
        <v>615.07249999999999</v>
      </c>
      <c r="H263" s="9">
        <f t="shared" si="75"/>
        <v>0.46200000000000008</v>
      </c>
      <c r="I263" s="9">
        <f t="shared" si="75"/>
        <v>0.40800000000000003</v>
      </c>
      <c r="J263" s="9">
        <f t="shared" si="75"/>
        <v>18.04</v>
      </c>
      <c r="K263" s="9">
        <f t="shared" si="75"/>
        <v>203.1</v>
      </c>
      <c r="L263" s="9">
        <f t="shared" si="75"/>
        <v>280.07000000000005</v>
      </c>
      <c r="M263" s="9">
        <f t="shared" si="75"/>
        <v>43.82</v>
      </c>
      <c r="N263" s="9">
        <f t="shared" si="75"/>
        <v>225.7</v>
      </c>
      <c r="O263" s="10">
        <f t="shared" si="75"/>
        <v>5.05</v>
      </c>
    </row>
    <row r="264" spans="1:15" ht="15.75" x14ac:dyDescent="0.25">
      <c r="A264" s="92" t="s">
        <v>21</v>
      </c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4"/>
    </row>
    <row r="265" spans="1:15" ht="15.75" x14ac:dyDescent="0.25">
      <c r="A265" s="11" t="s">
        <v>165</v>
      </c>
      <c r="B265" s="12" t="s">
        <v>155</v>
      </c>
      <c r="C265" s="13">
        <v>250</v>
      </c>
      <c r="D265" s="13">
        <v>10.82</v>
      </c>
      <c r="E265" s="13">
        <v>10.55</v>
      </c>
      <c r="F265" s="13">
        <v>34.56</v>
      </c>
      <c r="G265" s="13">
        <f>4*(D265+F265)+(9*E265)</f>
        <v>276.47000000000003</v>
      </c>
      <c r="H265" s="13">
        <v>0.13</v>
      </c>
      <c r="I265" s="13">
        <v>9.8000000000000004E-2</v>
      </c>
      <c r="J265" s="13">
        <v>5.04</v>
      </c>
      <c r="K265" s="13">
        <v>114.7</v>
      </c>
      <c r="L265" s="13">
        <v>122.09</v>
      </c>
      <c r="M265" s="13">
        <v>38.9</v>
      </c>
      <c r="N265" s="13">
        <v>104.4</v>
      </c>
      <c r="O265" s="14">
        <v>0.68</v>
      </c>
    </row>
    <row r="266" spans="1:15" ht="15.75" x14ac:dyDescent="0.25">
      <c r="A266" s="11" t="s">
        <v>126</v>
      </c>
      <c r="B266" s="12" t="s">
        <v>194</v>
      </c>
      <c r="C266" s="13">
        <v>100</v>
      </c>
      <c r="D266" s="13">
        <v>11.2</v>
      </c>
      <c r="E266" s="13">
        <v>11.95</v>
      </c>
      <c r="F266" s="13">
        <v>22.6</v>
      </c>
      <c r="G266" s="13">
        <f t="shared" ref="G266:G270" si="76">4*(D266+F266)+(9*E266)</f>
        <v>242.75</v>
      </c>
      <c r="H266" s="13">
        <v>0.17</v>
      </c>
      <c r="I266" s="13">
        <v>0.22</v>
      </c>
      <c r="J266" s="13">
        <v>13</v>
      </c>
      <c r="K266" s="13">
        <v>118</v>
      </c>
      <c r="L266" s="13">
        <v>134.80000000000001</v>
      </c>
      <c r="M266" s="13">
        <v>49.8</v>
      </c>
      <c r="N266" s="13">
        <v>102.4</v>
      </c>
      <c r="O266" s="14">
        <v>2.23</v>
      </c>
    </row>
    <row r="267" spans="1:15" ht="15.75" x14ac:dyDescent="0.25">
      <c r="A267" s="39" t="s">
        <v>229</v>
      </c>
      <c r="B267" s="46" t="s">
        <v>240</v>
      </c>
      <c r="C267" s="41">
        <v>180</v>
      </c>
      <c r="D267" s="21">
        <v>8.3800000000000008</v>
      </c>
      <c r="E267" s="21">
        <v>11.05</v>
      </c>
      <c r="F267" s="21">
        <v>36.799999999999997</v>
      </c>
      <c r="G267" s="21">
        <f t="shared" si="76"/>
        <v>280.17</v>
      </c>
      <c r="H267" s="21">
        <v>0.01</v>
      </c>
      <c r="I267" s="21">
        <v>7.0000000000000007E-2</v>
      </c>
      <c r="J267" s="21">
        <v>6.1</v>
      </c>
      <c r="K267" s="21">
        <v>97.6</v>
      </c>
      <c r="L267" s="21">
        <v>89.1</v>
      </c>
      <c r="M267" s="21">
        <v>26.4</v>
      </c>
      <c r="N267" s="21">
        <v>172.8</v>
      </c>
      <c r="O267" s="22">
        <v>1.8109999999999999</v>
      </c>
    </row>
    <row r="268" spans="1:15" ht="31.5" x14ac:dyDescent="0.25">
      <c r="A268" s="39" t="s">
        <v>105</v>
      </c>
      <c r="B268" s="46" t="s">
        <v>149</v>
      </c>
      <c r="C268" s="41">
        <v>180</v>
      </c>
      <c r="D268" s="41">
        <v>0.125</v>
      </c>
      <c r="E268" s="41">
        <v>1.2</v>
      </c>
      <c r="F268" s="41">
        <v>35.15</v>
      </c>
      <c r="G268" s="41">
        <f t="shared" si="76"/>
        <v>151.9</v>
      </c>
      <c r="H268" s="41">
        <v>0.03</v>
      </c>
      <c r="I268" s="41">
        <v>0.17</v>
      </c>
      <c r="J268" s="41">
        <v>0</v>
      </c>
      <c r="K268" s="41">
        <v>7</v>
      </c>
      <c r="L268" s="41">
        <v>84.1</v>
      </c>
      <c r="M268" s="41">
        <v>15.66</v>
      </c>
      <c r="N268" s="41">
        <v>82.67</v>
      </c>
      <c r="O268" s="42">
        <v>0.6</v>
      </c>
    </row>
    <row r="269" spans="1:15" ht="15.75" x14ac:dyDescent="0.25">
      <c r="A269" s="11"/>
      <c r="B269" s="12" t="s">
        <v>86</v>
      </c>
      <c r="C269" s="13">
        <v>25</v>
      </c>
      <c r="D269" s="13">
        <v>1.6</v>
      </c>
      <c r="E269" s="13">
        <v>0.2</v>
      </c>
      <c r="F269" s="13">
        <v>10.4</v>
      </c>
      <c r="G269" s="13">
        <f t="shared" si="76"/>
        <v>49.8</v>
      </c>
      <c r="H269" s="13">
        <v>2.1999999999999999E-2</v>
      </c>
      <c r="I269" s="13">
        <v>0.01</v>
      </c>
      <c r="J269" s="13">
        <v>0</v>
      </c>
      <c r="K269" s="13">
        <v>0</v>
      </c>
      <c r="L269" s="13">
        <v>5.6</v>
      </c>
      <c r="M269" s="13">
        <v>2.1</v>
      </c>
      <c r="N269" s="13">
        <v>21.2</v>
      </c>
      <c r="O269" s="14">
        <v>0.2</v>
      </c>
    </row>
    <row r="270" spans="1:15" ht="16.5" thickBot="1" x14ac:dyDescent="0.3">
      <c r="A270" s="23"/>
      <c r="B270" s="24" t="s">
        <v>92</v>
      </c>
      <c r="C270" s="25">
        <v>25</v>
      </c>
      <c r="D270" s="13">
        <v>1.3</v>
      </c>
      <c r="E270" s="13">
        <v>0.2</v>
      </c>
      <c r="F270" s="13">
        <v>8.1999999999999993</v>
      </c>
      <c r="G270" s="13">
        <f t="shared" si="76"/>
        <v>39.799999999999997</v>
      </c>
      <c r="H270" s="13">
        <v>2.1999999999999999E-2</v>
      </c>
      <c r="I270" s="13">
        <v>0.01</v>
      </c>
      <c r="J270" s="13">
        <v>0</v>
      </c>
      <c r="K270" s="13">
        <v>0</v>
      </c>
      <c r="L270" s="13">
        <v>5</v>
      </c>
      <c r="M270" s="13">
        <v>2.8</v>
      </c>
      <c r="N270" s="13">
        <v>13</v>
      </c>
      <c r="O270" s="14">
        <v>0.22</v>
      </c>
    </row>
    <row r="271" spans="1:15" ht="16.5" thickBot="1" x14ac:dyDescent="0.3">
      <c r="A271" s="90" t="s">
        <v>20</v>
      </c>
      <c r="B271" s="91"/>
      <c r="C271" s="9">
        <v>880</v>
      </c>
      <c r="D271" s="9">
        <f t="shared" ref="D271:O271" si="77">SUM(D265:D270)</f>
        <v>33.424999999999997</v>
      </c>
      <c r="E271" s="9">
        <f t="shared" si="77"/>
        <v>35.150000000000006</v>
      </c>
      <c r="F271" s="9">
        <f t="shared" si="77"/>
        <v>147.71</v>
      </c>
      <c r="G271" s="9">
        <f t="shared" si="77"/>
        <v>1040.8900000000001</v>
      </c>
      <c r="H271" s="9">
        <f t="shared" si="77"/>
        <v>0.38400000000000012</v>
      </c>
      <c r="I271" s="9">
        <f t="shared" si="77"/>
        <v>0.57800000000000007</v>
      </c>
      <c r="J271" s="9">
        <f t="shared" si="77"/>
        <v>24.14</v>
      </c>
      <c r="K271" s="9">
        <f t="shared" si="77"/>
        <v>337.29999999999995</v>
      </c>
      <c r="L271" s="9">
        <f t="shared" si="77"/>
        <v>440.69000000000005</v>
      </c>
      <c r="M271" s="9">
        <f t="shared" si="77"/>
        <v>135.66</v>
      </c>
      <c r="N271" s="9">
        <f t="shared" si="77"/>
        <v>496.47</v>
      </c>
      <c r="O271" s="10">
        <f t="shared" si="77"/>
        <v>5.7409999999999997</v>
      </c>
    </row>
    <row r="272" spans="1:15" ht="16.5" thickBot="1" x14ac:dyDescent="0.3">
      <c r="A272" s="28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30"/>
    </row>
    <row r="273" spans="1:15" ht="15.75" x14ac:dyDescent="0.25">
      <c r="A273" s="144" t="s">
        <v>63</v>
      </c>
      <c r="B273" s="145"/>
      <c r="C273" s="67">
        <f t="shared" ref="C273:O273" si="78">C256+C271</f>
        <v>1465</v>
      </c>
      <c r="D273" s="68">
        <f t="shared" si="78"/>
        <v>53.224999999999994</v>
      </c>
      <c r="E273" s="68">
        <f t="shared" si="78"/>
        <v>56.490000000000009</v>
      </c>
      <c r="F273" s="68">
        <f t="shared" si="78"/>
        <v>232.89000000000001</v>
      </c>
      <c r="G273" s="68">
        <f t="shared" si="78"/>
        <v>1652.87</v>
      </c>
      <c r="H273" s="67">
        <f t="shared" si="78"/>
        <v>0.84600000000000009</v>
      </c>
      <c r="I273" s="67">
        <f t="shared" si="78"/>
        <v>0.96600000000000008</v>
      </c>
      <c r="J273" s="67">
        <f t="shared" si="78"/>
        <v>42.54</v>
      </c>
      <c r="K273" s="67">
        <f t="shared" si="78"/>
        <v>540.09999999999991</v>
      </c>
      <c r="L273" s="67">
        <f t="shared" si="78"/>
        <v>720.99</v>
      </c>
      <c r="M273" s="67">
        <f t="shared" si="78"/>
        <v>181</v>
      </c>
      <c r="N273" s="79">
        <f t="shared" si="78"/>
        <v>717.09</v>
      </c>
      <c r="O273" s="69">
        <f t="shared" si="78"/>
        <v>10.614999999999998</v>
      </c>
    </row>
    <row r="274" spans="1:15" ht="16.5" thickBot="1" x14ac:dyDescent="0.3">
      <c r="A274" s="146" t="s">
        <v>64</v>
      </c>
      <c r="B274" s="147"/>
      <c r="C274" s="70">
        <f t="shared" ref="C274:O274" si="79">C263+C271</f>
        <v>1425</v>
      </c>
      <c r="D274" s="71">
        <f t="shared" si="79"/>
        <v>54.119500000000002</v>
      </c>
      <c r="E274" s="71">
        <f t="shared" si="79"/>
        <v>56.160500000000006</v>
      </c>
      <c r="F274" s="71">
        <f t="shared" si="79"/>
        <v>233.51</v>
      </c>
      <c r="G274" s="76">
        <f t="shared" si="79"/>
        <v>1655.9625000000001</v>
      </c>
      <c r="H274" s="70">
        <f t="shared" si="79"/>
        <v>0.8460000000000002</v>
      </c>
      <c r="I274" s="70">
        <f t="shared" si="79"/>
        <v>0.9860000000000001</v>
      </c>
      <c r="J274" s="70">
        <f t="shared" si="79"/>
        <v>42.18</v>
      </c>
      <c r="K274" s="70">
        <f t="shared" si="79"/>
        <v>540.4</v>
      </c>
      <c r="L274" s="70">
        <f t="shared" si="79"/>
        <v>720.7600000000001</v>
      </c>
      <c r="M274" s="70">
        <f t="shared" si="79"/>
        <v>179.48</v>
      </c>
      <c r="N274" s="70">
        <f t="shared" si="79"/>
        <v>722.17000000000007</v>
      </c>
      <c r="O274" s="72">
        <f t="shared" si="79"/>
        <v>10.791</v>
      </c>
    </row>
    <row r="275" spans="1:15" s="1" customFormat="1" ht="15.75" x14ac:dyDescent="0.25">
      <c r="A275" s="32"/>
      <c r="B275" s="32"/>
      <c r="C275" s="34"/>
      <c r="D275" s="33"/>
      <c r="E275" s="33"/>
      <c r="F275" s="33"/>
      <c r="G275" s="81"/>
      <c r="H275" s="34"/>
      <c r="I275" s="34"/>
      <c r="J275" s="34"/>
      <c r="K275" s="34"/>
      <c r="L275" s="34"/>
      <c r="M275" s="34"/>
      <c r="N275" s="34"/>
      <c r="O275" s="34"/>
    </row>
    <row r="276" spans="1:15" s="1" customFormat="1" x14ac:dyDescent="0.25">
      <c r="A276" s="87" t="s">
        <v>210</v>
      </c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</row>
    <row r="277" spans="1:15" s="1" customFormat="1" ht="15.75" x14ac:dyDescent="0.25">
      <c r="A277" s="32"/>
      <c r="B277" s="32"/>
      <c r="C277" s="34"/>
      <c r="D277" s="33"/>
      <c r="E277" s="33"/>
      <c r="F277" s="33"/>
      <c r="G277" s="81"/>
      <c r="H277" s="34"/>
      <c r="I277" s="34"/>
      <c r="J277" s="34"/>
      <c r="K277" s="34"/>
      <c r="L277" s="34"/>
      <c r="M277" s="34"/>
      <c r="N277" s="34"/>
      <c r="O277" s="34"/>
    </row>
    <row r="278" spans="1:15" s="1" customFormat="1" ht="15.75" x14ac:dyDescent="0.25">
      <c r="A278" s="151" t="s">
        <v>207</v>
      </c>
      <c r="B278" s="151"/>
      <c r="C278" s="15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</row>
    <row r="279" spans="1:15" s="1" customFormat="1" ht="16.5" thickBot="1" x14ac:dyDescent="0.3">
      <c r="A279" s="32"/>
      <c r="B279" s="32"/>
      <c r="C279" s="34"/>
      <c r="D279" s="33"/>
      <c r="E279" s="33"/>
      <c r="F279" s="33"/>
      <c r="G279" s="81"/>
      <c r="H279" s="34"/>
      <c r="I279" s="34"/>
      <c r="J279" s="34"/>
      <c r="K279" s="34"/>
      <c r="L279" s="34"/>
      <c r="M279" s="34"/>
      <c r="N279" s="34"/>
      <c r="O279" s="34"/>
    </row>
    <row r="280" spans="1:15" s="1" customFormat="1" ht="15" customHeight="1" x14ac:dyDescent="0.25">
      <c r="A280" s="98" t="s">
        <v>0</v>
      </c>
      <c r="B280" s="100" t="s">
        <v>1</v>
      </c>
      <c r="C280" s="102" t="s">
        <v>2</v>
      </c>
      <c r="D280" s="104" t="s">
        <v>3</v>
      </c>
      <c r="E280" s="105"/>
      <c r="F280" s="106"/>
      <c r="G280" s="102" t="s">
        <v>4</v>
      </c>
      <c r="H280" s="107" t="s">
        <v>5</v>
      </c>
      <c r="I280" s="107"/>
      <c r="J280" s="107"/>
      <c r="K280" s="107"/>
      <c r="L280" s="108" t="s">
        <v>6</v>
      </c>
      <c r="M280" s="109"/>
      <c r="N280" s="109"/>
      <c r="O280" s="110"/>
    </row>
    <row r="281" spans="1:15" ht="66" customHeight="1" thickBot="1" x14ac:dyDescent="0.3">
      <c r="A281" s="99"/>
      <c r="B281" s="101"/>
      <c r="C281" s="103"/>
      <c r="D281" s="35" t="s">
        <v>7</v>
      </c>
      <c r="E281" s="35" t="s">
        <v>8</v>
      </c>
      <c r="F281" s="35" t="s">
        <v>9</v>
      </c>
      <c r="G281" s="103"/>
      <c r="H281" s="36" t="s">
        <v>10</v>
      </c>
      <c r="I281" s="36" t="s">
        <v>16</v>
      </c>
      <c r="J281" s="36" t="s">
        <v>11</v>
      </c>
      <c r="K281" s="36" t="s">
        <v>17</v>
      </c>
      <c r="L281" s="37" t="s">
        <v>12</v>
      </c>
      <c r="M281" s="36" t="s">
        <v>13</v>
      </c>
      <c r="N281" s="36" t="s">
        <v>14</v>
      </c>
      <c r="O281" s="38" t="s">
        <v>15</v>
      </c>
    </row>
    <row r="282" spans="1:15" ht="15.75" x14ac:dyDescent="0.25">
      <c r="A282" s="84" t="s">
        <v>33</v>
      </c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6"/>
    </row>
    <row r="283" spans="1:15" ht="15.75" x14ac:dyDescent="0.25">
      <c r="A283" s="92" t="s">
        <v>47</v>
      </c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4"/>
    </row>
    <row r="284" spans="1:15" ht="15.75" x14ac:dyDescent="0.25">
      <c r="A284" s="11" t="s">
        <v>192</v>
      </c>
      <c r="B284" s="12" t="s">
        <v>267</v>
      </c>
      <c r="C284" s="13">
        <v>200</v>
      </c>
      <c r="D284" s="13">
        <v>15.08</v>
      </c>
      <c r="E284" s="13">
        <v>19.3</v>
      </c>
      <c r="F284" s="13">
        <v>41.3</v>
      </c>
      <c r="G284" s="13">
        <f t="shared" ref="G284:G288" si="80">4*(D284+F284)+(9*E284)</f>
        <v>399.22</v>
      </c>
      <c r="H284" s="13">
        <v>0.5</v>
      </c>
      <c r="I284" s="13">
        <v>0.33</v>
      </c>
      <c r="J284" s="13">
        <v>3.4</v>
      </c>
      <c r="K284" s="13">
        <v>116</v>
      </c>
      <c r="L284" s="13">
        <v>77.8</v>
      </c>
      <c r="M284" s="13">
        <v>63.5</v>
      </c>
      <c r="N284" s="13">
        <v>165.62</v>
      </c>
      <c r="O284" s="14">
        <v>2.83</v>
      </c>
    </row>
    <row r="285" spans="1:15" ht="15.75" x14ac:dyDescent="0.25">
      <c r="A285" s="11"/>
      <c r="B285" s="12" t="s">
        <v>239</v>
      </c>
      <c r="C285" s="13">
        <v>30</v>
      </c>
      <c r="D285" s="13">
        <v>0.4</v>
      </c>
      <c r="E285" s="13">
        <v>1</v>
      </c>
      <c r="F285" s="13">
        <v>1.8</v>
      </c>
      <c r="G285" s="13">
        <f t="shared" si="80"/>
        <v>17.8</v>
      </c>
      <c r="H285" s="13">
        <v>2.4E-2</v>
      </c>
      <c r="I285" s="13">
        <v>0.01</v>
      </c>
      <c r="J285" s="13">
        <v>1.75</v>
      </c>
      <c r="K285" s="13">
        <v>0</v>
      </c>
      <c r="L285" s="13">
        <v>6.2</v>
      </c>
      <c r="M285" s="13">
        <v>6</v>
      </c>
      <c r="N285" s="13">
        <v>12.3</v>
      </c>
      <c r="O285" s="14">
        <v>0.42</v>
      </c>
    </row>
    <row r="286" spans="1:15" s="1" customFormat="1" ht="15.75" x14ac:dyDescent="0.25">
      <c r="A286" s="11"/>
      <c r="B286" s="12" t="s">
        <v>176</v>
      </c>
      <c r="C286" s="13">
        <v>200</v>
      </c>
      <c r="D286" s="13">
        <v>0</v>
      </c>
      <c r="E286" s="13">
        <v>0</v>
      </c>
      <c r="F286" s="13">
        <v>37.5</v>
      </c>
      <c r="G286" s="13">
        <f t="shared" si="80"/>
        <v>150</v>
      </c>
      <c r="H286" s="13">
        <v>0.12</v>
      </c>
      <c r="I286" s="13">
        <v>0.01</v>
      </c>
      <c r="J286" s="13">
        <v>4.2</v>
      </c>
      <c r="K286" s="13">
        <v>33.9</v>
      </c>
      <c r="L286" s="13">
        <v>54.1</v>
      </c>
      <c r="M286" s="13">
        <v>5.0999999999999996</v>
      </c>
      <c r="N286" s="13">
        <v>63</v>
      </c>
      <c r="O286" s="14">
        <v>1.3</v>
      </c>
    </row>
    <row r="287" spans="1:15" ht="15.75" x14ac:dyDescent="0.25">
      <c r="A287" s="11"/>
      <c r="B287" s="12" t="s">
        <v>147</v>
      </c>
      <c r="C287" s="13">
        <v>125</v>
      </c>
      <c r="D287" s="13">
        <v>0</v>
      </c>
      <c r="E287" s="13">
        <v>0</v>
      </c>
      <c r="F287" s="13">
        <v>9</v>
      </c>
      <c r="G287" s="13">
        <f t="shared" si="80"/>
        <v>36</v>
      </c>
      <c r="H287" s="13">
        <v>2.1999999999999999E-2</v>
      </c>
      <c r="I287" s="13">
        <v>0.01</v>
      </c>
      <c r="J287" s="13">
        <v>0</v>
      </c>
      <c r="K287" s="13">
        <v>0</v>
      </c>
      <c r="L287" s="13">
        <v>90.5</v>
      </c>
      <c r="M287" s="13">
        <v>2.8</v>
      </c>
      <c r="N287" s="13">
        <v>13</v>
      </c>
      <c r="O287" s="14">
        <v>0.22</v>
      </c>
    </row>
    <row r="288" spans="1:15" ht="16.5" thickBot="1" x14ac:dyDescent="0.3">
      <c r="A288" s="11"/>
      <c r="B288" s="12" t="s">
        <v>86</v>
      </c>
      <c r="C288" s="13">
        <v>25</v>
      </c>
      <c r="D288" s="13">
        <v>1.6</v>
      </c>
      <c r="E288" s="13">
        <v>0.2</v>
      </c>
      <c r="F288" s="13">
        <v>10.4</v>
      </c>
      <c r="G288" s="13">
        <f t="shared" si="80"/>
        <v>49.8</v>
      </c>
      <c r="H288" s="13">
        <v>2.1999999999999999E-2</v>
      </c>
      <c r="I288" s="13">
        <v>0.01</v>
      </c>
      <c r="J288" s="13">
        <v>0</v>
      </c>
      <c r="K288" s="13">
        <v>0</v>
      </c>
      <c r="L288" s="13">
        <v>4.5999999999999996</v>
      </c>
      <c r="M288" s="13">
        <v>2.1</v>
      </c>
      <c r="N288" s="13">
        <v>21.2</v>
      </c>
      <c r="O288" s="14">
        <v>0.2</v>
      </c>
    </row>
    <row r="289" spans="1:15" ht="16.5" thickBot="1" x14ac:dyDescent="0.3">
      <c r="A289" s="90" t="s">
        <v>20</v>
      </c>
      <c r="B289" s="91"/>
      <c r="C289" s="9">
        <f t="shared" ref="C289:O289" si="81">SUM(C284:C288)</f>
        <v>580</v>
      </c>
      <c r="D289" s="9">
        <f t="shared" si="81"/>
        <v>17.080000000000002</v>
      </c>
      <c r="E289" s="9">
        <f t="shared" si="81"/>
        <v>20.5</v>
      </c>
      <c r="F289" s="61">
        <f t="shared" si="81"/>
        <v>100</v>
      </c>
      <c r="G289" s="9">
        <f t="shared" si="81"/>
        <v>652.81999999999994</v>
      </c>
      <c r="H289" s="62">
        <f t="shared" si="81"/>
        <v>0.68800000000000006</v>
      </c>
      <c r="I289" s="9">
        <f t="shared" si="81"/>
        <v>0.37000000000000005</v>
      </c>
      <c r="J289" s="9">
        <f t="shared" si="81"/>
        <v>9.3500000000000014</v>
      </c>
      <c r="K289" s="9">
        <f t="shared" si="81"/>
        <v>149.9</v>
      </c>
      <c r="L289" s="9">
        <f t="shared" si="81"/>
        <v>233.2</v>
      </c>
      <c r="M289" s="9">
        <f t="shared" si="81"/>
        <v>79.499999999999986</v>
      </c>
      <c r="N289" s="9">
        <f t="shared" si="81"/>
        <v>275.12</v>
      </c>
      <c r="O289" s="10">
        <f t="shared" si="81"/>
        <v>4.97</v>
      </c>
    </row>
    <row r="290" spans="1:15" ht="15.75" x14ac:dyDescent="0.25">
      <c r="A290" s="92" t="s">
        <v>48</v>
      </c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4"/>
    </row>
    <row r="291" spans="1:15" ht="15.75" x14ac:dyDescent="0.25">
      <c r="A291" s="11" t="s">
        <v>124</v>
      </c>
      <c r="B291" s="12" t="s">
        <v>189</v>
      </c>
      <c r="C291" s="13">
        <v>200</v>
      </c>
      <c r="D291" s="13">
        <v>7.48</v>
      </c>
      <c r="E291" s="13">
        <v>8.2100000000000009</v>
      </c>
      <c r="F291" s="13">
        <v>26.84</v>
      </c>
      <c r="G291" s="13">
        <f>4*(D291+F291)+(9*E291)</f>
        <v>211.17000000000002</v>
      </c>
      <c r="H291" s="13">
        <v>0.12</v>
      </c>
      <c r="I291" s="13">
        <v>0.3</v>
      </c>
      <c r="J291" s="13">
        <v>4.8</v>
      </c>
      <c r="K291" s="13">
        <v>129.4</v>
      </c>
      <c r="L291" s="13">
        <v>151.80000000000001</v>
      </c>
      <c r="M291" s="13">
        <v>42.3</v>
      </c>
      <c r="N291" s="13">
        <v>134.80000000000001</v>
      </c>
      <c r="O291" s="14">
        <v>2.4</v>
      </c>
    </row>
    <row r="292" spans="1:15" ht="15.75" x14ac:dyDescent="0.25">
      <c r="A292" s="11"/>
      <c r="B292" s="12" t="s">
        <v>215</v>
      </c>
      <c r="C292" s="13">
        <v>70</v>
      </c>
      <c r="D292" s="13">
        <v>6.73</v>
      </c>
      <c r="E292" s="13">
        <v>12.25</v>
      </c>
      <c r="F292" s="13">
        <v>21.23</v>
      </c>
      <c r="G292" s="13">
        <f>4*(D292+F292)+(9*E292)</f>
        <v>222.09</v>
      </c>
      <c r="H292" s="13">
        <v>0.52</v>
      </c>
      <c r="I292" s="13">
        <v>0.01</v>
      </c>
      <c r="J292" s="13">
        <v>1.1000000000000001</v>
      </c>
      <c r="K292" s="13">
        <v>21.8</v>
      </c>
      <c r="L292" s="13">
        <v>29</v>
      </c>
      <c r="M292" s="13">
        <v>19</v>
      </c>
      <c r="N292" s="13">
        <v>63</v>
      </c>
      <c r="O292" s="14">
        <v>1</v>
      </c>
    </row>
    <row r="293" spans="1:15" s="1" customFormat="1" ht="15.75" x14ac:dyDescent="0.25">
      <c r="A293" s="23"/>
      <c r="B293" s="24" t="s">
        <v>216</v>
      </c>
      <c r="C293" s="25">
        <v>20</v>
      </c>
      <c r="D293" s="25">
        <v>0.1</v>
      </c>
      <c r="E293" s="25">
        <v>0</v>
      </c>
      <c r="F293" s="25">
        <v>19.5</v>
      </c>
      <c r="G293" s="13">
        <f>4*(D293+F293)+(9*E293)</f>
        <v>78.400000000000006</v>
      </c>
      <c r="H293" s="25">
        <v>0</v>
      </c>
      <c r="I293" s="25">
        <v>0.01</v>
      </c>
      <c r="J293" s="25">
        <v>3</v>
      </c>
      <c r="K293" s="25">
        <v>0</v>
      </c>
      <c r="L293" s="25">
        <v>34</v>
      </c>
      <c r="M293" s="25">
        <v>9</v>
      </c>
      <c r="N293" s="25">
        <v>25</v>
      </c>
      <c r="O293" s="26">
        <v>0.9</v>
      </c>
    </row>
    <row r="294" spans="1:15" ht="15.75" x14ac:dyDescent="0.25">
      <c r="A294" s="23"/>
      <c r="B294" s="24" t="s">
        <v>140</v>
      </c>
      <c r="C294" s="25">
        <v>200</v>
      </c>
      <c r="D294" s="25">
        <v>7.0000000000000007E-2</v>
      </c>
      <c r="E294" s="25">
        <v>0.02</v>
      </c>
      <c r="F294" s="25">
        <v>16.89</v>
      </c>
      <c r="G294" s="13">
        <f t="shared" ref="G294:G295" si="82">4*(D294+F294)+(9*E294)</f>
        <v>68.02000000000001</v>
      </c>
      <c r="H294" s="25">
        <v>2.8000000000000001E-2</v>
      </c>
      <c r="I294" s="25">
        <v>0.04</v>
      </c>
      <c r="J294" s="25">
        <v>0</v>
      </c>
      <c r="K294" s="25">
        <v>0</v>
      </c>
      <c r="L294" s="25">
        <v>8.0500000000000007</v>
      </c>
      <c r="M294" s="25">
        <v>5.24</v>
      </c>
      <c r="N294" s="25">
        <v>9.7799999999999994</v>
      </c>
      <c r="O294" s="26">
        <v>0.19</v>
      </c>
    </row>
    <row r="295" spans="1:15" ht="16.5" thickBot="1" x14ac:dyDescent="0.3">
      <c r="A295" s="11"/>
      <c r="B295" s="12" t="s">
        <v>86</v>
      </c>
      <c r="C295" s="13">
        <v>50</v>
      </c>
      <c r="D295" s="13">
        <v>3.2</v>
      </c>
      <c r="E295" s="13">
        <v>0.4</v>
      </c>
      <c r="F295" s="13">
        <v>20.8</v>
      </c>
      <c r="G295" s="13">
        <f t="shared" si="82"/>
        <v>99.6</v>
      </c>
      <c r="H295" s="13">
        <v>4.3999999999999997E-2</v>
      </c>
      <c r="I295" s="13">
        <v>0.02</v>
      </c>
      <c r="J295" s="13">
        <v>0</v>
      </c>
      <c r="K295" s="13">
        <v>0</v>
      </c>
      <c r="L295" s="13">
        <v>9.1999999999999993</v>
      </c>
      <c r="M295" s="13">
        <v>4.2</v>
      </c>
      <c r="N295" s="13">
        <v>42.4</v>
      </c>
      <c r="O295" s="14">
        <v>0.4</v>
      </c>
    </row>
    <row r="296" spans="1:15" ht="16.5" thickBot="1" x14ac:dyDescent="0.3">
      <c r="A296" s="90" t="s">
        <v>20</v>
      </c>
      <c r="B296" s="91"/>
      <c r="C296" s="9">
        <f t="shared" ref="C296:O296" si="83">SUM(C291:C295)</f>
        <v>540</v>
      </c>
      <c r="D296" s="9">
        <f t="shared" si="83"/>
        <v>17.580000000000002</v>
      </c>
      <c r="E296" s="9">
        <f t="shared" si="83"/>
        <v>20.88</v>
      </c>
      <c r="F296" s="9">
        <f t="shared" si="83"/>
        <v>105.25999999999999</v>
      </c>
      <c r="G296" s="9">
        <f t="shared" si="83"/>
        <v>679.28</v>
      </c>
      <c r="H296" s="9">
        <f t="shared" si="83"/>
        <v>0.71200000000000008</v>
      </c>
      <c r="I296" s="9">
        <f t="shared" si="83"/>
        <v>0.38</v>
      </c>
      <c r="J296" s="9">
        <f t="shared" si="83"/>
        <v>8.9</v>
      </c>
      <c r="K296" s="9">
        <f t="shared" si="83"/>
        <v>151.20000000000002</v>
      </c>
      <c r="L296" s="9">
        <f t="shared" si="83"/>
        <v>232.05</v>
      </c>
      <c r="M296" s="9">
        <f t="shared" si="83"/>
        <v>79.739999999999995</v>
      </c>
      <c r="N296" s="9">
        <f t="shared" si="83"/>
        <v>274.98</v>
      </c>
      <c r="O296" s="10">
        <f t="shared" si="83"/>
        <v>4.8900000000000006</v>
      </c>
    </row>
    <row r="297" spans="1:15" ht="15.75" x14ac:dyDescent="0.25">
      <c r="A297" s="92" t="s">
        <v>21</v>
      </c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4"/>
    </row>
    <row r="298" spans="1:15" ht="31.5" x14ac:dyDescent="0.25">
      <c r="A298" s="39" t="s">
        <v>135</v>
      </c>
      <c r="B298" s="46" t="s">
        <v>130</v>
      </c>
      <c r="C298" s="41">
        <v>250</v>
      </c>
      <c r="D298" s="41">
        <v>9.68</v>
      </c>
      <c r="E298" s="41">
        <v>12.9</v>
      </c>
      <c r="F298" s="41">
        <v>21.15</v>
      </c>
      <c r="G298" s="41">
        <f>4*(D298+F298)+(9*E298)</f>
        <v>239.42000000000002</v>
      </c>
      <c r="H298" s="41">
        <v>2.7E-2</v>
      </c>
      <c r="I298" s="41">
        <v>0.21299999999999999</v>
      </c>
      <c r="J298" s="41">
        <v>4.3</v>
      </c>
      <c r="K298" s="41">
        <v>154</v>
      </c>
      <c r="L298" s="41">
        <v>134.1</v>
      </c>
      <c r="M298" s="41">
        <v>24.1</v>
      </c>
      <c r="N298" s="41">
        <v>93.6</v>
      </c>
      <c r="O298" s="42">
        <v>0.68600000000000005</v>
      </c>
    </row>
    <row r="299" spans="1:15" ht="15.75" x14ac:dyDescent="0.25">
      <c r="A299" s="11" t="s">
        <v>166</v>
      </c>
      <c r="B299" s="12" t="s">
        <v>153</v>
      </c>
      <c r="C299" s="13">
        <v>100</v>
      </c>
      <c r="D299" s="13">
        <v>15.17</v>
      </c>
      <c r="E299" s="13">
        <v>13.64</v>
      </c>
      <c r="F299" s="13">
        <v>9.76</v>
      </c>
      <c r="G299" s="13">
        <f t="shared" ref="G299:G303" si="84">4*(D299+F299)+(9*E299)</f>
        <v>222.48000000000002</v>
      </c>
      <c r="H299" s="13">
        <v>0.02</v>
      </c>
      <c r="I299" s="13">
        <v>7.0000000000000007E-2</v>
      </c>
      <c r="J299" s="13">
        <v>7.4</v>
      </c>
      <c r="K299" s="13">
        <v>112</v>
      </c>
      <c r="L299" s="13">
        <v>148.6</v>
      </c>
      <c r="M299" s="13">
        <v>31.8</v>
      </c>
      <c r="N299" s="13">
        <v>108.6</v>
      </c>
      <c r="O299" s="14">
        <v>0.96</v>
      </c>
    </row>
    <row r="300" spans="1:15" ht="15.75" x14ac:dyDescent="0.25">
      <c r="A300" s="11" t="s">
        <v>144</v>
      </c>
      <c r="B300" s="12" t="s">
        <v>236</v>
      </c>
      <c r="C300" s="13">
        <v>180</v>
      </c>
      <c r="D300" s="13">
        <v>8.2899999999999991</v>
      </c>
      <c r="E300" s="13">
        <v>7.88</v>
      </c>
      <c r="F300" s="13">
        <v>39.26</v>
      </c>
      <c r="G300" s="13">
        <f t="shared" si="84"/>
        <v>261.12</v>
      </c>
      <c r="H300" s="13">
        <v>0.02</v>
      </c>
      <c r="I300" s="13">
        <v>0</v>
      </c>
      <c r="J300" s="13">
        <v>1.05</v>
      </c>
      <c r="K300" s="13">
        <v>124.6</v>
      </c>
      <c r="L300" s="13">
        <v>97.24</v>
      </c>
      <c r="M300" s="13">
        <v>38.200000000000003</v>
      </c>
      <c r="N300" s="13">
        <v>106</v>
      </c>
      <c r="O300" s="14">
        <v>3.1</v>
      </c>
    </row>
    <row r="301" spans="1:15" ht="15.75" x14ac:dyDescent="0.25">
      <c r="A301" s="11" t="s">
        <v>133</v>
      </c>
      <c r="B301" s="12" t="s">
        <v>101</v>
      </c>
      <c r="C301" s="13">
        <v>180</v>
      </c>
      <c r="D301" s="13">
        <v>0.26</v>
      </c>
      <c r="E301" s="13">
        <v>0.12</v>
      </c>
      <c r="F301" s="13">
        <v>21.8</v>
      </c>
      <c r="G301" s="13">
        <f t="shared" si="84"/>
        <v>89.320000000000007</v>
      </c>
      <c r="H301" s="13">
        <v>0</v>
      </c>
      <c r="I301" s="13">
        <v>0.05</v>
      </c>
      <c r="J301" s="13">
        <v>20.399999999999999</v>
      </c>
      <c r="K301" s="13">
        <v>0</v>
      </c>
      <c r="L301" s="13">
        <v>89.2</v>
      </c>
      <c r="M301" s="13">
        <v>4.0999999999999996</v>
      </c>
      <c r="N301" s="13">
        <v>68.900000000000006</v>
      </c>
      <c r="O301" s="14">
        <v>0.4</v>
      </c>
    </row>
    <row r="302" spans="1:15" ht="15.75" x14ac:dyDescent="0.25">
      <c r="A302" s="11"/>
      <c r="B302" s="12" t="s">
        <v>86</v>
      </c>
      <c r="C302" s="13">
        <v>50</v>
      </c>
      <c r="D302" s="13">
        <v>3.2</v>
      </c>
      <c r="E302" s="13">
        <v>0.4</v>
      </c>
      <c r="F302" s="13">
        <v>20.8</v>
      </c>
      <c r="G302" s="13">
        <f t="shared" si="84"/>
        <v>99.6</v>
      </c>
      <c r="H302" s="13">
        <v>4.3999999999999997E-2</v>
      </c>
      <c r="I302" s="13">
        <v>0.06</v>
      </c>
      <c r="J302" s="13">
        <v>0</v>
      </c>
      <c r="K302" s="13">
        <v>0</v>
      </c>
      <c r="L302" s="13">
        <v>9.1999999999999993</v>
      </c>
      <c r="M302" s="13">
        <v>4.2</v>
      </c>
      <c r="N302" s="13">
        <v>42.4</v>
      </c>
      <c r="O302" s="14">
        <v>0.4</v>
      </c>
    </row>
    <row r="303" spans="1:15" ht="16.5" thickBot="1" x14ac:dyDescent="0.3">
      <c r="A303" s="23"/>
      <c r="B303" s="24" t="s">
        <v>92</v>
      </c>
      <c r="C303" s="25">
        <v>50</v>
      </c>
      <c r="D303" s="13">
        <v>2.6</v>
      </c>
      <c r="E303" s="13">
        <v>0.4</v>
      </c>
      <c r="F303" s="13">
        <v>16.399999999999999</v>
      </c>
      <c r="G303" s="13">
        <f t="shared" si="84"/>
        <v>79.599999999999994</v>
      </c>
      <c r="H303" s="13">
        <v>4.3999999999999997E-2</v>
      </c>
      <c r="I303" s="13">
        <v>0.2</v>
      </c>
      <c r="J303" s="13">
        <v>0</v>
      </c>
      <c r="K303" s="13">
        <v>0</v>
      </c>
      <c r="L303" s="13">
        <v>10</v>
      </c>
      <c r="M303" s="13">
        <v>5.6</v>
      </c>
      <c r="N303" s="13">
        <v>26</v>
      </c>
      <c r="O303" s="14">
        <v>0.44</v>
      </c>
    </row>
    <row r="304" spans="1:15" ht="16.5" thickBot="1" x14ac:dyDescent="0.3">
      <c r="A304" s="90" t="s">
        <v>20</v>
      </c>
      <c r="B304" s="91"/>
      <c r="C304" s="9">
        <f t="shared" ref="C304:O304" si="85">SUM(C298:C303)</f>
        <v>810</v>
      </c>
      <c r="D304" s="9">
        <f t="shared" si="85"/>
        <v>39.200000000000003</v>
      </c>
      <c r="E304" s="9">
        <f t="shared" si="85"/>
        <v>35.339999999999996</v>
      </c>
      <c r="F304" s="9">
        <f t="shared" si="85"/>
        <v>129.16999999999999</v>
      </c>
      <c r="G304" s="9">
        <f t="shared" si="85"/>
        <v>991.54000000000008</v>
      </c>
      <c r="H304" s="9">
        <f t="shared" si="85"/>
        <v>0.155</v>
      </c>
      <c r="I304" s="9">
        <f t="shared" si="85"/>
        <v>0.59299999999999997</v>
      </c>
      <c r="J304" s="9">
        <f t="shared" si="85"/>
        <v>33.15</v>
      </c>
      <c r="K304" s="9">
        <f t="shared" si="85"/>
        <v>390.6</v>
      </c>
      <c r="L304" s="9">
        <f t="shared" si="85"/>
        <v>488.34</v>
      </c>
      <c r="M304" s="9">
        <f t="shared" si="85"/>
        <v>108</v>
      </c>
      <c r="N304" s="9">
        <f t="shared" si="85"/>
        <v>445.5</v>
      </c>
      <c r="O304" s="10">
        <f t="shared" si="85"/>
        <v>5.9860000000000015</v>
      </c>
    </row>
    <row r="305" spans="1:15" ht="16.5" thickBot="1" x14ac:dyDescent="0.3">
      <c r="A305" s="28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30"/>
    </row>
    <row r="306" spans="1:15" ht="15.75" x14ac:dyDescent="0.25">
      <c r="A306" s="144" t="s">
        <v>65</v>
      </c>
      <c r="B306" s="145"/>
      <c r="C306" s="67">
        <f t="shared" ref="C306:O306" si="86">C289+C304</f>
        <v>1390</v>
      </c>
      <c r="D306" s="68">
        <f t="shared" si="86"/>
        <v>56.28</v>
      </c>
      <c r="E306" s="68">
        <f t="shared" si="86"/>
        <v>55.839999999999996</v>
      </c>
      <c r="F306" s="68">
        <f t="shared" si="86"/>
        <v>229.17</v>
      </c>
      <c r="G306" s="68">
        <f t="shared" si="86"/>
        <v>1644.3600000000001</v>
      </c>
      <c r="H306" s="67">
        <f t="shared" si="86"/>
        <v>0.84300000000000008</v>
      </c>
      <c r="I306" s="67">
        <f t="shared" si="86"/>
        <v>0.96300000000000008</v>
      </c>
      <c r="J306" s="67">
        <f t="shared" si="86"/>
        <v>42.5</v>
      </c>
      <c r="K306" s="67">
        <f t="shared" si="86"/>
        <v>540.5</v>
      </c>
      <c r="L306" s="67">
        <f t="shared" si="86"/>
        <v>721.54</v>
      </c>
      <c r="M306" s="67">
        <f t="shared" si="86"/>
        <v>187.5</v>
      </c>
      <c r="N306" s="67">
        <f t="shared" si="86"/>
        <v>720.62</v>
      </c>
      <c r="O306" s="69">
        <f t="shared" si="86"/>
        <v>10.956000000000001</v>
      </c>
    </row>
    <row r="307" spans="1:15" ht="16.5" thickBot="1" x14ac:dyDescent="0.3">
      <c r="A307" s="146" t="s">
        <v>66</v>
      </c>
      <c r="B307" s="147"/>
      <c r="C307" s="70">
        <f t="shared" ref="C307:O307" si="87">C296+C304</f>
        <v>1350</v>
      </c>
      <c r="D307" s="71">
        <f t="shared" si="87"/>
        <v>56.78</v>
      </c>
      <c r="E307" s="71">
        <f t="shared" si="87"/>
        <v>56.22</v>
      </c>
      <c r="F307" s="71">
        <f t="shared" si="87"/>
        <v>234.42999999999998</v>
      </c>
      <c r="G307" s="71">
        <f t="shared" si="87"/>
        <v>1670.8200000000002</v>
      </c>
      <c r="H307" s="70">
        <f t="shared" si="87"/>
        <v>0.8670000000000001</v>
      </c>
      <c r="I307" s="70">
        <f t="shared" si="87"/>
        <v>0.97299999999999998</v>
      </c>
      <c r="J307" s="70">
        <f t="shared" si="87"/>
        <v>42.05</v>
      </c>
      <c r="K307" s="70">
        <f t="shared" si="87"/>
        <v>541.80000000000007</v>
      </c>
      <c r="L307" s="70">
        <f t="shared" si="87"/>
        <v>720.39</v>
      </c>
      <c r="M307" s="70">
        <f t="shared" si="87"/>
        <v>187.74</v>
      </c>
      <c r="N307" s="70">
        <f t="shared" si="87"/>
        <v>720.48</v>
      </c>
      <c r="O307" s="72">
        <f t="shared" si="87"/>
        <v>10.876000000000001</v>
      </c>
    </row>
    <row r="308" spans="1:15" s="1" customFormat="1" ht="15.75" x14ac:dyDescent="0.25">
      <c r="A308" s="32"/>
      <c r="B308" s="32"/>
      <c r="C308" s="34"/>
      <c r="D308" s="33"/>
      <c r="E308" s="33"/>
      <c r="F308" s="33"/>
      <c r="G308" s="33"/>
      <c r="H308" s="34"/>
      <c r="I308" s="34"/>
      <c r="J308" s="34"/>
      <c r="K308" s="34"/>
      <c r="L308" s="34"/>
      <c r="M308" s="34"/>
      <c r="N308" s="34"/>
      <c r="O308" s="34"/>
    </row>
    <row r="309" spans="1:15" s="1" customFormat="1" ht="15.75" x14ac:dyDescent="0.25">
      <c r="A309" s="32"/>
      <c r="B309" s="32"/>
      <c r="C309" s="34"/>
      <c r="D309" s="33"/>
      <c r="E309" s="33"/>
      <c r="F309" s="33"/>
      <c r="G309" s="33"/>
      <c r="H309" s="34"/>
      <c r="I309" s="34"/>
      <c r="J309" s="34"/>
      <c r="K309" s="34"/>
      <c r="L309" s="34"/>
      <c r="M309" s="34"/>
      <c r="N309" s="34"/>
      <c r="O309" s="34"/>
    </row>
    <row r="310" spans="1:15" s="1" customFormat="1" x14ac:dyDescent="0.25">
      <c r="A310" s="87" t="s">
        <v>210</v>
      </c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</row>
    <row r="311" spans="1:15" s="1" customFormat="1" ht="15.75" x14ac:dyDescent="0.25">
      <c r="A311" s="32"/>
      <c r="B311" s="32"/>
      <c r="C311" s="34"/>
      <c r="D311" s="33"/>
      <c r="E311" s="33"/>
      <c r="F311" s="33"/>
      <c r="G311" s="33"/>
      <c r="H311" s="34"/>
      <c r="I311" s="34"/>
      <c r="J311" s="34"/>
      <c r="K311" s="34"/>
      <c r="L311" s="34"/>
      <c r="M311" s="34"/>
      <c r="N311" s="34"/>
      <c r="O311" s="34"/>
    </row>
    <row r="312" spans="1:15" s="1" customFormat="1" ht="15.75" x14ac:dyDescent="0.25">
      <c r="A312" s="151" t="s">
        <v>207</v>
      </c>
      <c r="B312" s="151"/>
      <c r="C312" s="151"/>
      <c r="D312" s="151"/>
      <c r="E312" s="151"/>
      <c r="F312" s="151"/>
      <c r="G312" s="151"/>
      <c r="H312" s="151"/>
      <c r="I312" s="151"/>
      <c r="J312" s="151"/>
      <c r="K312" s="151"/>
      <c r="L312" s="151"/>
      <c r="M312" s="151"/>
      <c r="N312" s="151"/>
      <c r="O312" s="151"/>
    </row>
    <row r="313" spans="1:15" s="1" customFormat="1" ht="16.5" thickBot="1" x14ac:dyDescent="0.3">
      <c r="A313" s="32"/>
      <c r="B313" s="32"/>
      <c r="C313" s="34"/>
      <c r="D313" s="33"/>
      <c r="E313" s="33"/>
      <c r="F313" s="33"/>
      <c r="G313" s="33"/>
      <c r="H313" s="34"/>
      <c r="I313" s="34"/>
      <c r="J313" s="34"/>
      <c r="K313" s="34"/>
      <c r="L313" s="34"/>
      <c r="M313" s="34"/>
      <c r="N313" s="34"/>
      <c r="O313" s="34"/>
    </row>
    <row r="314" spans="1:15" s="1" customFormat="1" ht="15" customHeight="1" x14ac:dyDescent="0.25">
      <c r="A314" s="98" t="s">
        <v>0</v>
      </c>
      <c r="B314" s="100" t="s">
        <v>1</v>
      </c>
      <c r="C314" s="102" t="s">
        <v>2</v>
      </c>
      <c r="D314" s="104" t="s">
        <v>3</v>
      </c>
      <c r="E314" s="105"/>
      <c r="F314" s="106"/>
      <c r="G314" s="102" t="s">
        <v>4</v>
      </c>
      <c r="H314" s="107" t="s">
        <v>5</v>
      </c>
      <c r="I314" s="107"/>
      <c r="J314" s="107"/>
      <c r="K314" s="107"/>
      <c r="L314" s="108" t="s">
        <v>6</v>
      </c>
      <c r="M314" s="109"/>
      <c r="N314" s="109"/>
      <c r="O314" s="110"/>
    </row>
    <row r="315" spans="1:15" ht="53.25" customHeight="1" thickBot="1" x14ac:dyDescent="0.3">
      <c r="A315" s="99"/>
      <c r="B315" s="101"/>
      <c r="C315" s="103"/>
      <c r="D315" s="35" t="s">
        <v>7</v>
      </c>
      <c r="E315" s="35" t="s">
        <v>8</v>
      </c>
      <c r="F315" s="35" t="s">
        <v>9</v>
      </c>
      <c r="G315" s="103"/>
      <c r="H315" s="36" t="s">
        <v>10</v>
      </c>
      <c r="I315" s="36" t="s">
        <v>16</v>
      </c>
      <c r="J315" s="36" t="s">
        <v>11</v>
      </c>
      <c r="K315" s="36" t="s">
        <v>17</v>
      </c>
      <c r="L315" s="37" t="s">
        <v>12</v>
      </c>
      <c r="M315" s="36" t="s">
        <v>13</v>
      </c>
      <c r="N315" s="36" t="s">
        <v>14</v>
      </c>
      <c r="O315" s="38" t="s">
        <v>15</v>
      </c>
    </row>
    <row r="316" spans="1:15" ht="15.75" x14ac:dyDescent="0.25">
      <c r="A316" s="84" t="s">
        <v>67</v>
      </c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6"/>
    </row>
    <row r="317" spans="1:15" ht="15.75" x14ac:dyDescent="0.25">
      <c r="A317" s="92" t="s">
        <v>47</v>
      </c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4"/>
    </row>
    <row r="318" spans="1:15" ht="15.75" x14ac:dyDescent="0.25">
      <c r="A318" s="11" t="s">
        <v>104</v>
      </c>
      <c r="B318" s="12" t="s">
        <v>222</v>
      </c>
      <c r="C318" s="49">
        <v>100</v>
      </c>
      <c r="D318" s="13">
        <v>11.86</v>
      </c>
      <c r="E318" s="13">
        <v>12.08</v>
      </c>
      <c r="F318" s="13">
        <v>27.54</v>
      </c>
      <c r="G318" s="13">
        <f>4*(D318+F318)+(9*E318)</f>
        <v>266.32</v>
      </c>
      <c r="H318" s="13">
        <v>0.24</v>
      </c>
      <c r="I318" s="13">
        <v>0.1</v>
      </c>
      <c r="J318" s="13">
        <v>0.01</v>
      </c>
      <c r="K318" s="13">
        <v>137</v>
      </c>
      <c r="L318" s="13">
        <v>146.30000000000001</v>
      </c>
      <c r="M318" s="13">
        <v>10.1</v>
      </c>
      <c r="N318" s="13">
        <v>133</v>
      </c>
      <c r="O318" s="14">
        <v>2.6</v>
      </c>
    </row>
    <row r="319" spans="1:15" ht="15.75" x14ac:dyDescent="0.25">
      <c r="A319" s="11" t="s">
        <v>104</v>
      </c>
      <c r="B319" s="12" t="s">
        <v>258</v>
      </c>
      <c r="C319" s="49">
        <v>180</v>
      </c>
      <c r="D319" s="13">
        <v>5.3</v>
      </c>
      <c r="E319" s="13">
        <v>6.2</v>
      </c>
      <c r="F319" s="13">
        <v>41.4</v>
      </c>
      <c r="G319" s="13">
        <f t="shared" ref="G319:G321" si="88">4*(D319+F319)+(9*E319)</f>
        <v>242.6</v>
      </c>
      <c r="H319" s="13">
        <v>0</v>
      </c>
      <c r="I319" s="13">
        <v>0.38</v>
      </c>
      <c r="J319" s="13">
        <v>0</v>
      </c>
      <c r="K319" s="13">
        <v>96.4</v>
      </c>
      <c r="L319" s="13">
        <v>129.15</v>
      </c>
      <c r="M319" s="13">
        <v>38.4</v>
      </c>
      <c r="N319" s="13">
        <v>63.84</v>
      </c>
      <c r="O319" s="14">
        <v>1.83</v>
      </c>
    </row>
    <row r="320" spans="1:15" ht="15.75" x14ac:dyDescent="0.25">
      <c r="A320" s="11" t="s">
        <v>133</v>
      </c>
      <c r="B320" s="12" t="s">
        <v>178</v>
      </c>
      <c r="C320" s="13">
        <v>10</v>
      </c>
      <c r="D320" s="13">
        <v>0.2</v>
      </c>
      <c r="E320" s="13">
        <v>2.92</v>
      </c>
      <c r="F320" s="13">
        <v>24.36</v>
      </c>
      <c r="G320" s="13">
        <f t="shared" si="88"/>
        <v>124.52</v>
      </c>
      <c r="H320" s="13">
        <v>0.05</v>
      </c>
      <c r="I320" s="13">
        <v>0.02</v>
      </c>
      <c r="J320" s="13">
        <v>0</v>
      </c>
      <c r="K320" s="13">
        <v>20.8</v>
      </c>
      <c r="L320" s="13">
        <v>28.5</v>
      </c>
      <c r="M320" s="13">
        <v>1.2</v>
      </c>
      <c r="N320" s="13">
        <v>29</v>
      </c>
      <c r="O320" s="14">
        <v>0</v>
      </c>
    </row>
    <row r="321" spans="1:15" ht="15.75" x14ac:dyDescent="0.25">
      <c r="A321" s="11" t="s">
        <v>114</v>
      </c>
      <c r="B321" s="12" t="s">
        <v>111</v>
      </c>
      <c r="C321" s="13">
        <v>205</v>
      </c>
      <c r="D321" s="13">
        <v>0.05</v>
      </c>
      <c r="E321" s="13">
        <v>0.02</v>
      </c>
      <c r="F321" s="13">
        <v>9.32</v>
      </c>
      <c r="G321" s="13">
        <f t="shared" si="88"/>
        <v>37.660000000000004</v>
      </c>
      <c r="H321" s="13">
        <v>0</v>
      </c>
      <c r="I321" s="13">
        <v>0</v>
      </c>
      <c r="J321" s="13">
        <v>0.02</v>
      </c>
      <c r="K321" s="13">
        <v>0</v>
      </c>
      <c r="L321" s="13">
        <v>8</v>
      </c>
      <c r="M321" s="13">
        <v>0.9</v>
      </c>
      <c r="N321" s="13">
        <v>1.6</v>
      </c>
      <c r="O321" s="14">
        <v>0.19</v>
      </c>
    </row>
    <row r="322" spans="1:15" s="1" customFormat="1" ht="15.75" x14ac:dyDescent="0.25">
      <c r="A322" s="23"/>
      <c r="B322" s="12" t="s">
        <v>86</v>
      </c>
      <c r="C322" s="13">
        <v>25</v>
      </c>
      <c r="D322" s="13">
        <v>1.6</v>
      </c>
      <c r="E322" s="13">
        <v>0.2</v>
      </c>
      <c r="F322" s="13">
        <v>10.4</v>
      </c>
      <c r="G322" s="13">
        <f>4*(D322+F322)+(E322*9)</f>
        <v>49.8</v>
      </c>
      <c r="H322" s="13">
        <v>2.1999999999999999E-2</v>
      </c>
      <c r="I322" s="13">
        <v>0.01</v>
      </c>
      <c r="J322" s="13">
        <v>0</v>
      </c>
      <c r="K322" s="13">
        <v>0</v>
      </c>
      <c r="L322" s="13">
        <v>4.5999999999999996</v>
      </c>
      <c r="M322" s="13">
        <v>2.1</v>
      </c>
      <c r="N322" s="13">
        <v>21.2</v>
      </c>
      <c r="O322" s="14">
        <v>0.2</v>
      </c>
    </row>
    <row r="323" spans="1:15" ht="16.5" thickBot="1" x14ac:dyDescent="0.3">
      <c r="A323" s="23"/>
      <c r="B323" s="24" t="s">
        <v>92</v>
      </c>
      <c r="C323" s="25">
        <v>25</v>
      </c>
      <c r="D323" s="13">
        <v>1.3</v>
      </c>
      <c r="E323" s="13">
        <v>0.2</v>
      </c>
      <c r="F323" s="13">
        <v>8.1999999999999993</v>
      </c>
      <c r="G323" s="13">
        <f t="shared" ref="G323" si="89">4*(D323+F323)+(E323*9)</f>
        <v>39.799999999999997</v>
      </c>
      <c r="H323" s="13">
        <v>2.1999999999999999E-2</v>
      </c>
      <c r="I323" s="13">
        <v>0.01</v>
      </c>
      <c r="J323" s="13">
        <v>0</v>
      </c>
      <c r="K323" s="13">
        <v>0</v>
      </c>
      <c r="L323" s="13">
        <v>5</v>
      </c>
      <c r="M323" s="13">
        <v>2.8</v>
      </c>
      <c r="N323" s="13">
        <v>13</v>
      </c>
      <c r="O323" s="14">
        <v>0.22</v>
      </c>
    </row>
    <row r="324" spans="1:15" ht="16.5" thickBot="1" x14ac:dyDescent="0.3">
      <c r="A324" s="90" t="s">
        <v>20</v>
      </c>
      <c r="B324" s="91"/>
      <c r="C324" s="9">
        <f t="shared" ref="C324:O324" si="90">SUM(C318:C323)</f>
        <v>545</v>
      </c>
      <c r="D324" s="9">
        <f t="shared" si="90"/>
        <v>20.310000000000002</v>
      </c>
      <c r="E324" s="9">
        <f t="shared" si="90"/>
        <v>21.62</v>
      </c>
      <c r="F324" s="61">
        <f t="shared" si="90"/>
        <v>121.22000000000001</v>
      </c>
      <c r="G324" s="9">
        <f t="shared" si="90"/>
        <v>760.69999999999982</v>
      </c>
      <c r="H324" s="62">
        <f t="shared" si="90"/>
        <v>0.33400000000000002</v>
      </c>
      <c r="I324" s="9">
        <f t="shared" si="90"/>
        <v>0.52</v>
      </c>
      <c r="J324" s="9">
        <f t="shared" si="90"/>
        <v>0.03</v>
      </c>
      <c r="K324" s="9">
        <f t="shared" si="90"/>
        <v>254.20000000000002</v>
      </c>
      <c r="L324" s="9">
        <f t="shared" si="90"/>
        <v>321.55000000000007</v>
      </c>
      <c r="M324" s="9">
        <f t="shared" si="90"/>
        <v>55.5</v>
      </c>
      <c r="N324" s="9">
        <f t="shared" si="90"/>
        <v>261.64</v>
      </c>
      <c r="O324" s="10">
        <f t="shared" si="90"/>
        <v>5.04</v>
      </c>
    </row>
    <row r="325" spans="1:15" ht="15.75" x14ac:dyDescent="0.25">
      <c r="A325" s="92" t="s">
        <v>48</v>
      </c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4"/>
    </row>
    <row r="326" spans="1:15" ht="15.75" x14ac:dyDescent="0.25">
      <c r="A326" s="11" t="s">
        <v>124</v>
      </c>
      <c r="B326" s="12" t="s">
        <v>139</v>
      </c>
      <c r="C326" s="13">
        <v>200</v>
      </c>
      <c r="D326" s="13">
        <v>7.84</v>
      </c>
      <c r="E326" s="13">
        <v>8.42</v>
      </c>
      <c r="F326" s="13">
        <v>38.130000000000003</v>
      </c>
      <c r="G326" s="13">
        <f>4*(D326+F326)+(9*E326)</f>
        <v>259.65999999999997</v>
      </c>
      <c r="H326" s="13">
        <v>0.16</v>
      </c>
      <c r="I326" s="13">
        <v>0.16</v>
      </c>
      <c r="J326" s="13">
        <v>0.06</v>
      </c>
      <c r="K326" s="13">
        <v>108.9</v>
      </c>
      <c r="L326" s="13">
        <v>61.3</v>
      </c>
      <c r="M326" s="13">
        <v>38.6</v>
      </c>
      <c r="N326" s="13">
        <v>102.1</v>
      </c>
      <c r="O326" s="14">
        <v>1.37</v>
      </c>
    </row>
    <row r="327" spans="1:15" ht="15.75" x14ac:dyDescent="0.25">
      <c r="A327" s="11" t="s">
        <v>159</v>
      </c>
      <c r="B327" s="12" t="s">
        <v>158</v>
      </c>
      <c r="C327" s="13">
        <v>50</v>
      </c>
      <c r="D327" s="13">
        <v>5.8</v>
      </c>
      <c r="E327" s="13">
        <v>5.54</v>
      </c>
      <c r="F327" s="13">
        <v>47.13</v>
      </c>
      <c r="G327" s="13">
        <f>4*(D327+F327)+(9*E327)</f>
        <v>261.58</v>
      </c>
      <c r="H327" s="13">
        <v>9.8000000000000004E-2</v>
      </c>
      <c r="I327" s="13">
        <v>0.32</v>
      </c>
      <c r="J327" s="13">
        <v>0.69</v>
      </c>
      <c r="K327" s="13">
        <v>0</v>
      </c>
      <c r="L327" s="13">
        <v>86.8</v>
      </c>
      <c r="M327" s="13">
        <v>9.75</v>
      </c>
      <c r="N327" s="13">
        <v>126.9</v>
      </c>
      <c r="O327" s="14">
        <v>3.17</v>
      </c>
    </row>
    <row r="328" spans="1:15" ht="15.75" x14ac:dyDescent="0.25">
      <c r="A328" s="23" t="s">
        <v>114</v>
      </c>
      <c r="B328" s="24" t="s">
        <v>84</v>
      </c>
      <c r="C328" s="25">
        <v>200</v>
      </c>
      <c r="D328" s="25">
        <v>7.0000000000000007E-2</v>
      </c>
      <c r="E328" s="25">
        <v>0.02</v>
      </c>
      <c r="F328" s="25">
        <v>16.89</v>
      </c>
      <c r="G328" s="13">
        <f t="shared" ref="G328:G329" si="91">4*(D328+F328)+(9*E328)</f>
        <v>68.02000000000001</v>
      </c>
      <c r="H328" s="25">
        <v>2.8000000000000001E-2</v>
      </c>
      <c r="I328" s="25">
        <v>0.04</v>
      </c>
      <c r="J328" s="25">
        <v>0</v>
      </c>
      <c r="K328" s="25">
        <v>0</v>
      </c>
      <c r="L328" s="25">
        <v>8.0500000000000007</v>
      </c>
      <c r="M328" s="25">
        <v>5.24</v>
      </c>
      <c r="N328" s="25">
        <v>9.7799999999999994</v>
      </c>
      <c r="O328" s="26">
        <v>0.19</v>
      </c>
    </row>
    <row r="329" spans="1:15" ht="15.75" x14ac:dyDescent="0.25">
      <c r="A329" s="11"/>
      <c r="B329" s="12" t="s">
        <v>86</v>
      </c>
      <c r="C329" s="13">
        <v>25</v>
      </c>
      <c r="D329" s="13">
        <v>1.6</v>
      </c>
      <c r="E329" s="13">
        <v>0.2</v>
      </c>
      <c r="F329" s="13">
        <v>10.4</v>
      </c>
      <c r="G329" s="13">
        <f t="shared" si="91"/>
        <v>49.8</v>
      </c>
      <c r="H329" s="13">
        <v>2.1999999999999999E-2</v>
      </c>
      <c r="I329" s="13">
        <v>0.01</v>
      </c>
      <c r="J329" s="13">
        <v>0</v>
      </c>
      <c r="K329" s="13">
        <v>0</v>
      </c>
      <c r="L329" s="13">
        <v>4.5999999999999996</v>
      </c>
      <c r="M329" s="13">
        <v>2.1</v>
      </c>
      <c r="N329" s="13">
        <v>21.2</v>
      </c>
      <c r="O329" s="14">
        <v>0.2</v>
      </c>
    </row>
    <row r="330" spans="1:15" ht="16.5" thickBot="1" x14ac:dyDescent="0.3">
      <c r="A330" s="11"/>
      <c r="B330" s="12" t="s">
        <v>259</v>
      </c>
      <c r="C330" s="13">
        <v>90</v>
      </c>
      <c r="D330" s="13">
        <v>3.1</v>
      </c>
      <c r="E330" s="13">
        <v>6.2</v>
      </c>
      <c r="F330" s="13">
        <v>9.3000000000000007</v>
      </c>
      <c r="G330" s="13">
        <f t="shared" ref="G330" si="92">4*(D330+F330)+(E330*9)</f>
        <v>105.4</v>
      </c>
      <c r="H330" s="13"/>
      <c r="I330" s="13"/>
      <c r="J330" s="13"/>
      <c r="K330" s="13">
        <v>146</v>
      </c>
      <c r="L330" s="13">
        <v>160</v>
      </c>
      <c r="M330" s="13"/>
      <c r="N330" s="13"/>
      <c r="O330" s="14"/>
    </row>
    <row r="331" spans="1:15" ht="16.5" thickBot="1" x14ac:dyDescent="0.3">
      <c r="A331" s="90" t="s">
        <v>20</v>
      </c>
      <c r="B331" s="91"/>
      <c r="C331" s="9">
        <f>SUM(C326:C330)</f>
        <v>565</v>
      </c>
      <c r="D331" s="9">
        <f t="shared" ref="D331:O331" si="93">SUM(D326:D330)</f>
        <v>18.41</v>
      </c>
      <c r="E331" s="9">
        <f t="shared" si="93"/>
        <v>20.38</v>
      </c>
      <c r="F331" s="9">
        <f t="shared" si="93"/>
        <v>121.85000000000001</v>
      </c>
      <c r="G331" s="9">
        <f t="shared" si="93"/>
        <v>744.45999999999992</v>
      </c>
      <c r="H331" s="9">
        <f t="shared" si="93"/>
        <v>0.30800000000000005</v>
      </c>
      <c r="I331" s="9">
        <f t="shared" si="93"/>
        <v>0.53</v>
      </c>
      <c r="J331" s="9">
        <f t="shared" si="93"/>
        <v>0.75</v>
      </c>
      <c r="K331" s="9">
        <f t="shared" si="93"/>
        <v>254.9</v>
      </c>
      <c r="L331" s="9">
        <f t="shared" si="93"/>
        <v>320.75</v>
      </c>
      <c r="M331" s="9">
        <f t="shared" si="93"/>
        <v>55.690000000000005</v>
      </c>
      <c r="N331" s="9">
        <f t="shared" si="93"/>
        <v>259.98</v>
      </c>
      <c r="O331" s="10">
        <f t="shared" si="93"/>
        <v>4.9300000000000006</v>
      </c>
    </row>
    <row r="332" spans="1:15" ht="15.75" x14ac:dyDescent="0.25">
      <c r="A332" s="92" t="s">
        <v>21</v>
      </c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4"/>
    </row>
    <row r="333" spans="1:15" ht="15.75" x14ac:dyDescent="0.25">
      <c r="A333" s="11" t="s">
        <v>150</v>
      </c>
      <c r="B333" s="12" t="s">
        <v>148</v>
      </c>
      <c r="C333" s="13">
        <v>250</v>
      </c>
      <c r="D333" s="13">
        <v>13.5</v>
      </c>
      <c r="E333" s="13">
        <v>11.8</v>
      </c>
      <c r="F333" s="13">
        <v>32.89</v>
      </c>
      <c r="G333" s="13">
        <f>4*(D333+F333)+(9*E333)</f>
        <v>291.76</v>
      </c>
      <c r="H333" s="13">
        <v>0.05</v>
      </c>
      <c r="I333" s="13">
        <v>9.1999999999999998E-2</v>
      </c>
      <c r="J333" s="13">
        <v>5</v>
      </c>
      <c r="K333" s="13">
        <v>123</v>
      </c>
      <c r="L333" s="13">
        <v>95.3</v>
      </c>
      <c r="M333" s="13">
        <v>36.9</v>
      </c>
      <c r="N333" s="13">
        <v>146.5</v>
      </c>
      <c r="O333" s="14">
        <v>1.575</v>
      </c>
    </row>
    <row r="334" spans="1:15" ht="31.5" x14ac:dyDescent="0.25">
      <c r="A334" s="39" t="s">
        <v>193</v>
      </c>
      <c r="B334" s="46" t="s">
        <v>238</v>
      </c>
      <c r="C334" s="50">
        <v>200</v>
      </c>
      <c r="D334" s="41">
        <v>14.68</v>
      </c>
      <c r="E334" s="41">
        <v>16.23</v>
      </c>
      <c r="F334" s="41">
        <v>38.24</v>
      </c>
      <c r="G334" s="41">
        <f>4*(D334+F334)+(9*E334)</f>
        <v>357.75</v>
      </c>
      <c r="H334" s="41">
        <v>0.41</v>
      </c>
      <c r="I334" s="41">
        <v>0.12</v>
      </c>
      <c r="J334" s="41">
        <v>24</v>
      </c>
      <c r="K334" s="41">
        <v>162.35</v>
      </c>
      <c r="L334" s="41">
        <v>172.43</v>
      </c>
      <c r="M334" s="41">
        <v>56.7</v>
      </c>
      <c r="N334" s="41">
        <v>154.1</v>
      </c>
      <c r="O334" s="42">
        <v>0.95</v>
      </c>
    </row>
    <row r="335" spans="1:15" ht="15.75" x14ac:dyDescent="0.25">
      <c r="A335" s="11"/>
      <c r="B335" s="12" t="s">
        <v>239</v>
      </c>
      <c r="C335" s="13">
        <v>100</v>
      </c>
      <c r="D335" s="13">
        <v>0.8</v>
      </c>
      <c r="E335" s="13">
        <v>0.1</v>
      </c>
      <c r="F335" s="13">
        <v>1.6</v>
      </c>
      <c r="G335" s="13">
        <f t="shared" ref="G335:G338" si="94">4*(D335+F335)+(9*E335)</f>
        <v>10.500000000000002</v>
      </c>
      <c r="H335" s="13">
        <v>0.02</v>
      </c>
      <c r="I335" s="13">
        <v>0.16</v>
      </c>
      <c r="J335" s="13">
        <v>5.8</v>
      </c>
      <c r="K335" s="13">
        <v>0.8</v>
      </c>
      <c r="L335" s="13">
        <v>49</v>
      </c>
      <c r="M335" s="13">
        <v>24</v>
      </c>
      <c r="N335" s="13">
        <v>84</v>
      </c>
      <c r="O335" s="14">
        <v>0.6</v>
      </c>
    </row>
    <row r="336" spans="1:15" ht="15.75" x14ac:dyDescent="0.25">
      <c r="A336" s="11" t="s">
        <v>95</v>
      </c>
      <c r="B336" s="12" t="s">
        <v>109</v>
      </c>
      <c r="C336" s="13">
        <v>180</v>
      </c>
      <c r="D336" s="13">
        <v>0.4</v>
      </c>
      <c r="E336" s="13">
        <v>0.02</v>
      </c>
      <c r="F336" s="13">
        <v>19.73</v>
      </c>
      <c r="G336" s="13">
        <f t="shared" si="94"/>
        <v>80.7</v>
      </c>
      <c r="H336" s="13">
        <v>2E-3</v>
      </c>
      <c r="I336" s="13">
        <v>0.05</v>
      </c>
      <c r="J336" s="13">
        <v>7.6</v>
      </c>
      <c r="K336" s="13">
        <v>0</v>
      </c>
      <c r="L336" s="13">
        <v>73.87</v>
      </c>
      <c r="M336" s="13">
        <v>2.5</v>
      </c>
      <c r="N336" s="13">
        <v>41.55</v>
      </c>
      <c r="O336" s="14">
        <v>2.2999999999999998</v>
      </c>
    </row>
    <row r="337" spans="1:15" ht="15.75" x14ac:dyDescent="0.25">
      <c r="A337" s="11"/>
      <c r="B337" s="12" t="s">
        <v>86</v>
      </c>
      <c r="C337" s="13">
        <v>25</v>
      </c>
      <c r="D337" s="13">
        <v>1.6</v>
      </c>
      <c r="E337" s="13">
        <v>0.2</v>
      </c>
      <c r="F337" s="13">
        <v>10.4</v>
      </c>
      <c r="G337" s="13">
        <f t="shared" si="94"/>
        <v>49.8</v>
      </c>
      <c r="H337" s="13">
        <v>2.1999999999999999E-2</v>
      </c>
      <c r="I337" s="13">
        <v>0.01</v>
      </c>
      <c r="J337" s="13">
        <v>0</v>
      </c>
      <c r="K337" s="13">
        <v>0</v>
      </c>
      <c r="L337" s="13">
        <v>4.5999999999999996</v>
      </c>
      <c r="M337" s="13">
        <v>2.1</v>
      </c>
      <c r="N337" s="13">
        <v>21.2</v>
      </c>
      <c r="O337" s="14">
        <v>0.2</v>
      </c>
    </row>
    <row r="338" spans="1:15" ht="16.5" thickBot="1" x14ac:dyDescent="0.3">
      <c r="A338" s="23"/>
      <c r="B338" s="24" t="s">
        <v>92</v>
      </c>
      <c r="C338" s="25">
        <v>50</v>
      </c>
      <c r="D338" s="13">
        <v>1.3</v>
      </c>
      <c r="E338" s="13">
        <v>0.2</v>
      </c>
      <c r="F338" s="13">
        <v>8.1999999999999993</v>
      </c>
      <c r="G338" s="13">
        <f t="shared" si="94"/>
        <v>39.799999999999997</v>
      </c>
      <c r="H338" s="13">
        <v>2.1999999999999999E-2</v>
      </c>
      <c r="I338" s="13">
        <v>0.01</v>
      </c>
      <c r="J338" s="13">
        <v>0</v>
      </c>
      <c r="K338" s="13">
        <v>0</v>
      </c>
      <c r="L338" s="13">
        <v>5</v>
      </c>
      <c r="M338" s="13">
        <v>2.8</v>
      </c>
      <c r="N338" s="13">
        <v>13</v>
      </c>
      <c r="O338" s="14">
        <v>0.22</v>
      </c>
    </row>
    <row r="339" spans="1:15" ht="16.5" thickBot="1" x14ac:dyDescent="0.3">
      <c r="A339" s="90" t="s">
        <v>20</v>
      </c>
      <c r="B339" s="91"/>
      <c r="C339" s="9">
        <f t="shared" ref="C339:O339" si="95">SUM(C333:C338)</f>
        <v>805</v>
      </c>
      <c r="D339" s="9">
        <f t="shared" si="95"/>
        <v>32.28</v>
      </c>
      <c r="E339" s="9">
        <f t="shared" si="95"/>
        <v>28.55</v>
      </c>
      <c r="F339" s="9">
        <f t="shared" si="95"/>
        <v>111.06</v>
      </c>
      <c r="G339" s="9">
        <f t="shared" si="95"/>
        <v>830.31</v>
      </c>
      <c r="H339" s="9">
        <f t="shared" si="95"/>
        <v>0.52600000000000002</v>
      </c>
      <c r="I339" s="9">
        <f t="shared" si="95"/>
        <v>0.442</v>
      </c>
      <c r="J339" s="9">
        <f t="shared" si="95"/>
        <v>42.4</v>
      </c>
      <c r="K339" s="9">
        <f t="shared" si="95"/>
        <v>286.15000000000003</v>
      </c>
      <c r="L339" s="9">
        <f t="shared" si="95"/>
        <v>400.20000000000005</v>
      </c>
      <c r="M339" s="9">
        <f t="shared" si="95"/>
        <v>124.99999999999999</v>
      </c>
      <c r="N339" s="9">
        <f t="shared" si="95"/>
        <v>460.35</v>
      </c>
      <c r="O339" s="10">
        <f t="shared" si="95"/>
        <v>5.8449999999999998</v>
      </c>
    </row>
    <row r="340" spans="1:15" ht="16.5" thickBot="1" x14ac:dyDescent="0.3">
      <c r="A340" s="28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30"/>
    </row>
    <row r="341" spans="1:15" ht="15.75" x14ac:dyDescent="0.25">
      <c r="A341" s="144" t="s">
        <v>70</v>
      </c>
      <c r="B341" s="145"/>
      <c r="C341" s="67">
        <f t="shared" ref="C341:O341" si="96">C324+C339</f>
        <v>1350</v>
      </c>
      <c r="D341" s="68">
        <f t="shared" si="96"/>
        <v>52.59</v>
      </c>
      <c r="E341" s="68">
        <f t="shared" si="96"/>
        <v>50.17</v>
      </c>
      <c r="F341" s="68">
        <f t="shared" si="96"/>
        <v>232.28000000000003</v>
      </c>
      <c r="G341" s="68">
        <f t="shared" si="96"/>
        <v>1591.0099999999998</v>
      </c>
      <c r="H341" s="67">
        <f t="shared" si="96"/>
        <v>0.8600000000000001</v>
      </c>
      <c r="I341" s="67">
        <f t="shared" si="96"/>
        <v>0.96199999999999997</v>
      </c>
      <c r="J341" s="67">
        <f t="shared" si="96"/>
        <v>42.43</v>
      </c>
      <c r="K341" s="67">
        <f t="shared" si="96"/>
        <v>540.35</v>
      </c>
      <c r="L341" s="67">
        <f t="shared" si="96"/>
        <v>721.75000000000011</v>
      </c>
      <c r="M341" s="67">
        <f t="shared" si="96"/>
        <v>180.5</v>
      </c>
      <c r="N341" s="67">
        <f t="shared" si="96"/>
        <v>721.99</v>
      </c>
      <c r="O341" s="69">
        <f t="shared" si="96"/>
        <v>10.885</v>
      </c>
    </row>
    <row r="342" spans="1:15" ht="16.5" thickBot="1" x14ac:dyDescent="0.3">
      <c r="A342" s="146" t="s">
        <v>71</v>
      </c>
      <c r="B342" s="147"/>
      <c r="C342" s="70">
        <f t="shared" ref="C342:O342" si="97">C331+C339</f>
        <v>1370</v>
      </c>
      <c r="D342" s="71">
        <f t="shared" si="97"/>
        <v>50.69</v>
      </c>
      <c r="E342" s="71">
        <f t="shared" si="97"/>
        <v>48.93</v>
      </c>
      <c r="F342" s="71">
        <f t="shared" si="97"/>
        <v>232.91000000000003</v>
      </c>
      <c r="G342" s="71">
        <f t="shared" si="97"/>
        <v>1574.77</v>
      </c>
      <c r="H342" s="70">
        <f t="shared" si="97"/>
        <v>0.83400000000000007</v>
      </c>
      <c r="I342" s="70">
        <f t="shared" si="97"/>
        <v>0.97199999999999998</v>
      </c>
      <c r="J342" s="70">
        <f t="shared" si="97"/>
        <v>43.15</v>
      </c>
      <c r="K342" s="70">
        <f t="shared" si="97"/>
        <v>541.05000000000007</v>
      </c>
      <c r="L342" s="70">
        <f t="shared" si="97"/>
        <v>720.95</v>
      </c>
      <c r="M342" s="70">
        <f t="shared" si="97"/>
        <v>180.69</v>
      </c>
      <c r="N342" s="70">
        <f t="shared" si="97"/>
        <v>720.33</v>
      </c>
      <c r="O342" s="72">
        <f t="shared" si="97"/>
        <v>10.775</v>
      </c>
    </row>
    <row r="343" spans="1:15" s="1" customFormat="1" ht="15.75" x14ac:dyDescent="0.25">
      <c r="A343" s="32"/>
      <c r="B343" s="32"/>
      <c r="C343" s="34"/>
      <c r="D343" s="33"/>
      <c r="E343" s="33"/>
      <c r="F343" s="33"/>
      <c r="G343" s="33"/>
      <c r="H343" s="34"/>
      <c r="I343" s="34"/>
      <c r="J343" s="34"/>
      <c r="K343" s="34"/>
      <c r="L343" s="34"/>
      <c r="M343" s="34"/>
      <c r="N343" s="34"/>
      <c r="O343" s="34"/>
    </row>
    <row r="344" spans="1:15" s="1" customFormat="1" ht="15.75" x14ac:dyDescent="0.25">
      <c r="A344" s="32"/>
      <c r="B344" s="32"/>
      <c r="C344" s="34"/>
      <c r="D344" s="33"/>
      <c r="E344" s="33"/>
      <c r="F344" s="33"/>
      <c r="G344" s="33"/>
      <c r="H344" s="34"/>
      <c r="I344" s="34"/>
      <c r="J344" s="34"/>
      <c r="K344" s="34"/>
      <c r="L344" s="34"/>
      <c r="M344" s="34"/>
      <c r="N344" s="34"/>
      <c r="O344" s="34"/>
    </row>
    <row r="345" spans="1:15" s="1" customFormat="1" x14ac:dyDescent="0.25">
      <c r="A345" s="87" t="s">
        <v>210</v>
      </c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</row>
    <row r="346" spans="1:15" s="1" customFormat="1" ht="15.75" x14ac:dyDescent="0.25">
      <c r="A346" s="32"/>
      <c r="B346" s="32"/>
      <c r="C346" s="34"/>
      <c r="D346" s="33"/>
      <c r="E346" s="33"/>
      <c r="F346" s="33"/>
      <c r="G346" s="33"/>
      <c r="H346" s="34"/>
      <c r="I346" s="34"/>
      <c r="J346" s="34"/>
      <c r="K346" s="34"/>
      <c r="L346" s="34"/>
      <c r="M346" s="34"/>
      <c r="N346" s="34"/>
      <c r="O346" s="34"/>
    </row>
    <row r="347" spans="1:15" s="1" customFormat="1" ht="15.75" x14ac:dyDescent="0.25">
      <c r="A347" s="151" t="s">
        <v>207</v>
      </c>
      <c r="B347" s="151"/>
      <c r="C347" s="151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  <c r="N347" s="151"/>
      <c r="O347" s="151"/>
    </row>
    <row r="348" spans="1:15" s="1" customFormat="1" ht="16.5" thickBot="1" x14ac:dyDescent="0.3">
      <c r="A348" s="32"/>
      <c r="B348" s="32"/>
      <c r="C348" s="34"/>
      <c r="D348" s="33"/>
      <c r="E348" s="33"/>
      <c r="F348" s="33"/>
      <c r="G348" s="33"/>
      <c r="H348" s="34"/>
      <c r="I348" s="34"/>
      <c r="J348" s="34"/>
      <c r="K348" s="34"/>
      <c r="L348" s="34"/>
      <c r="M348" s="34"/>
      <c r="N348" s="34"/>
      <c r="O348" s="34"/>
    </row>
    <row r="349" spans="1:15" s="1" customFormat="1" ht="15" customHeight="1" x14ac:dyDescent="0.25">
      <c r="A349" s="98" t="s">
        <v>0</v>
      </c>
      <c r="B349" s="100" t="s">
        <v>1</v>
      </c>
      <c r="C349" s="102" t="s">
        <v>2</v>
      </c>
      <c r="D349" s="104" t="s">
        <v>3</v>
      </c>
      <c r="E349" s="105"/>
      <c r="F349" s="106"/>
      <c r="G349" s="102" t="s">
        <v>4</v>
      </c>
      <c r="H349" s="107" t="s">
        <v>5</v>
      </c>
      <c r="I349" s="107"/>
      <c r="J349" s="107"/>
      <c r="K349" s="107"/>
      <c r="L349" s="108" t="s">
        <v>6</v>
      </c>
      <c r="M349" s="109"/>
      <c r="N349" s="109"/>
      <c r="O349" s="110"/>
    </row>
    <row r="350" spans="1:15" ht="47.25" customHeight="1" thickBot="1" x14ac:dyDescent="0.3">
      <c r="A350" s="99"/>
      <c r="B350" s="101"/>
      <c r="C350" s="103"/>
      <c r="D350" s="35" t="s">
        <v>7</v>
      </c>
      <c r="E350" s="35" t="s">
        <v>8</v>
      </c>
      <c r="F350" s="35" t="s">
        <v>9</v>
      </c>
      <c r="G350" s="103"/>
      <c r="H350" s="36" t="s">
        <v>10</v>
      </c>
      <c r="I350" s="36" t="s">
        <v>16</v>
      </c>
      <c r="J350" s="36" t="s">
        <v>11</v>
      </c>
      <c r="K350" s="36" t="s">
        <v>17</v>
      </c>
      <c r="L350" s="37" t="s">
        <v>12</v>
      </c>
      <c r="M350" s="36" t="s">
        <v>13</v>
      </c>
      <c r="N350" s="36" t="s">
        <v>14</v>
      </c>
      <c r="O350" s="38" t="s">
        <v>15</v>
      </c>
    </row>
    <row r="351" spans="1:15" ht="15.75" x14ac:dyDescent="0.25">
      <c r="A351" s="84" t="s">
        <v>68</v>
      </c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6"/>
    </row>
    <row r="352" spans="1:15" ht="15.75" x14ac:dyDescent="0.25">
      <c r="A352" s="92" t="s">
        <v>47</v>
      </c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4"/>
    </row>
    <row r="353" spans="1:15" ht="15.75" x14ac:dyDescent="0.25">
      <c r="A353" s="11" t="s">
        <v>197</v>
      </c>
      <c r="B353" s="12" t="s">
        <v>260</v>
      </c>
      <c r="C353" s="13">
        <v>100</v>
      </c>
      <c r="D353" s="13">
        <v>10.79</v>
      </c>
      <c r="E353" s="13">
        <v>11.91</v>
      </c>
      <c r="F353" s="13">
        <v>34.57</v>
      </c>
      <c r="G353" s="13">
        <f t="shared" ref="G353:G355" si="98">4*(D353+F353)+(9*E353)</f>
        <v>288.63</v>
      </c>
      <c r="H353" s="13">
        <v>4.3999999999999997E-2</v>
      </c>
      <c r="I353" s="13">
        <v>3.5000000000000003E-2</v>
      </c>
      <c r="J353" s="13">
        <v>13</v>
      </c>
      <c r="K353" s="13">
        <v>122</v>
      </c>
      <c r="L353" s="13">
        <v>161.80000000000001</v>
      </c>
      <c r="M353" s="13">
        <v>13.7</v>
      </c>
      <c r="N353" s="13">
        <v>184.7</v>
      </c>
      <c r="O353" s="14">
        <v>2.79</v>
      </c>
    </row>
    <row r="354" spans="1:15" ht="15.75" x14ac:dyDescent="0.25">
      <c r="A354" s="11" t="s">
        <v>113</v>
      </c>
      <c r="B354" s="12" t="s">
        <v>227</v>
      </c>
      <c r="C354" s="49">
        <v>180</v>
      </c>
      <c r="D354" s="13">
        <v>6.3</v>
      </c>
      <c r="E354" s="13">
        <v>7.2</v>
      </c>
      <c r="F354" s="13">
        <v>37.299999999999997</v>
      </c>
      <c r="G354" s="13">
        <f t="shared" si="98"/>
        <v>239.2</v>
      </c>
      <c r="H354" s="13">
        <v>0</v>
      </c>
      <c r="I354" s="13">
        <v>1.7999999999999999E-2</v>
      </c>
      <c r="J354" s="13">
        <v>0</v>
      </c>
      <c r="K354" s="13">
        <v>16</v>
      </c>
      <c r="L354" s="13">
        <v>95.35</v>
      </c>
      <c r="M354" s="13">
        <v>17.600000000000001</v>
      </c>
      <c r="N354" s="13">
        <v>8.24</v>
      </c>
      <c r="O354" s="14">
        <v>2.86</v>
      </c>
    </row>
    <row r="355" spans="1:15" ht="15.75" x14ac:dyDescent="0.25">
      <c r="A355" s="11"/>
      <c r="B355" s="12" t="s">
        <v>261</v>
      </c>
      <c r="C355" s="13">
        <v>30</v>
      </c>
      <c r="D355" s="13">
        <v>0.28000000000000003</v>
      </c>
      <c r="E355" s="13">
        <v>0.04</v>
      </c>
      <c r="F355" s="13">
        <v>0.96</v>
      </c>
      <c r="G355" s="13">
        <f t="shared" si="98"/>
        <v>5.32</v>
      </c>
      <c r="H355" s="13">
        <v>0.02</v>
      </c>
      <c r="I355" s="13">
        <v>0.75</v>
      </c>
      <c r="J355" s="13">
        <v>0.3</v>
      </c>
      <c r="K355" s="13">
        <v>0</v>
      </c>
      <c r="L355" s="13">
        <v>12.2</v>
      </c>
      <c r="M355" s="13">
        <v>13</v>
      </c>
      <c r="N355" s="13">
        <v>7.8</v>
      </c>
      <c r="O355" s="14">
        <v>0.3</v>
      </c>
    </row>
    <row r="356" spans="1:15" ht="15.75" x14ac:dyDescent="0.25">
      <c r="A356" s="23" t="s">
        <v>114</v>
      </c>
      <c r="B356" s="24" t="s">
        <v>84</v>
      </c>
      <c r="C356" s="25">
        <v>200</v>
      </c>
      <c r="D356" s="25">
        <v>7.0000000000000007E-2</v>
      </c>
      <c r="E356" s="25">
        <v>0.02</v>
      </c>
      <c r="F356" s="25">
        <v>16.89</v>
      </c>
      <c r="G356" s="13">
        <f t="shared" ref="G356:G357" si="99">4*(D356+F356)+(9*E356)</f>
        <v>68.02000000000001</v>
      </c>
      <c r="H356" s="25">
        <v>2.8000000000000001E-2</v>
      </c>
      <c r="I356" s="25">
        <v>0.04</v>
      </c>
      <c r="J356" s="25">
        <v>0</v>
      </c>
      <c r="K356" s="25">
        <v>0</v>
      </c>
      <c r="L356" s="25">
        <v>8.0500000000000007</v>
      </c>
      <c r="M356" s="25">
        <v>5.24</v>
      </c>
      <c r="N356" s="25">
        <v>9.7799999999999994</v>
      </c>
      <c r="O356" s="26">
        <v>0.19</v>
      </c>
    </row>
    <row r="357" spans="1:15" ht="16.5" thickBot="1" x14ac:dyDescent="0.3">
      <c r="A357" s="11"/>
      <c r="B357" s="12" t="s">
        <v>86</v>
      </c>
      <c r="C357" s="13">
        <v>25</v>
      </c>
      <c r="D357" s="13">
        <v>1.6</v>
      </c>
      <c r="E357" s="13">
        <v>0.2</v>
      </c>
      <c r="F357" s="13">
        <v>10.4</v>
      </c>
      <c r="G357" s="13">
        <f t="shared" si="99"/>
        <v>49.8</v>
      </c>
      <c r="H357" s="13">
        <v>2.1999999999999999E-2</v>
      </c>
      <c r="I357" s="13">
        <v>0.01</v>
      </c>
      <c r="J357" s="13">
        <v>0</v>
      </c>
      <c r="K357" s="13">
        <v>0</v>
      </c>
      <c r="L357" s="13">
        <v>4.5999999999999996</v>
      </c>
      <c r="M357" s="13">
        <v>2.1</v>
      </c>
      <c r="N357" s="13">
        <v>21.2</v>
      </c>
      <c r="O357" s="14">
        <v>0.2</v>
      </c>
    </row>
    <row r="358" spans="1:15" ht="16.5" thickBot="1" x14ac:dyDescent="0.3">
      <c r="A358" s="90" t="s">
        <v>20</v>
      </c>
      <c r="B358" s="91"/>
      <c r="C358" s="9">
        <f>SUM(C353:C357)</f>
        <v>535</v>
      </c>
      <c r="D358" s="9">
        <f t="shared" ref="D358:O358" si="100">SUM(D353:D357)</f>
        <v>19.040000000000003</v>
      </c>
      <c r="E358" s="9">
        <f t="shared" si="100"/>
        <v>19.369999999999997</v>
      </c>
      <c r="F358" s="61">
        <f t="shared" si="100"/>
        <v>100.12</v>
      </c>
      <c r="G358" s="9">
        <f t="shared" si="100"/>
        <v>650.96999999999991</v>
      </c>
      <c r="H358" s="62">
        <f t="shared" si="100"/>
        <v>0.11399999999999999</v>
      </c>
      <c r="I358" s="9">
        <f t="shared" si="100"/>
        <v>0.85300000000000009</v>
      </c>
      <c r="J358" s="9">
        <f t="shared" si="100"/>
        <v>13.3</v>
      </c>
      <c r="K358" s="9">
        <f t="shared" si="100"/>
        <v>138</v>
      </c>
      <c r="L358" s="9">
        <f t="shared" si="100"/>
        <v>282</v>
      </c>
      <c r="M358" s="9">
        <f t="shared" si="100"/>
        <v>51.64</v>
      </c>
      <c r="N358" s="9">
        <f t="shared" si="100"/>
        <v>231.72</v>
      </c>
      <c r="O358" s="10">
        <f t="shared" si="100"/>
        <v>6.3400000000000007</v>
      </c>
    </row>
    <row r="359" spans="1:15" ht="15.75" x14ac:dyDescent="0.25">
      <c r="A359" s="92" t="s">
        <v>48</v>
      </c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4"/>
    </row>
    <row r="360" spans="1:15" ht="31.5" x14ac:dyDescent="0.25">
      <c r="A360" s="11" t="s">
        <v>124</v>
      </c>
      <c r="B360" s="40" t="s">
        <v>262</v>
      </c>
      <c r="C360" s="13">
        <v>200</v>
      </c>
      <c r="D360" s="13">
        <v>10.61</v>
      </c>
      <c r="E360" s="13">
        <v>12.08</v>
      </c>
      <c r="F360" s="13">
        <v>44.7</v>
      </c>
      <c r="G360" s="13">
        <f>4*(D360+F360)+(9*E360)</f>
        <v>329.96000000000004</v>
      </c>
      <c r="H360" s="13">
        <v>0.10299999999999999</v>
      </c>
      <c r="I360" s="13">
        <v>0.6</v>
      </c>
      <c r="J360" s="13">
        <v>0</v>
      </c>
      <c r="K360" s="13">
        <v>44.2</v>
      </c>
      <c r="L360" s="13">
        <v>128.80000000000001</v>
      </c>
      <c r="M360" s="13">
        <v>37.200000000000003</v>
      </c>
      <c r="N360" s="13">
        <v>114.6</v>
      </c>
      <c r="O360" s="14">
        <v>2.34</v>
      </c>
    </row>
    <row r="361" spans="1:15" ht="15.75" x14ac:dyDescent="0.25">
      <c r="A361" s="11" t="s">
        <v>164</v>
      </c>
      <c r="B361" s="12" t="s">
        <v>263</v>
      </c>
      <c r="C361" s="13">
        <v>10</v>
      </c>
      <c r="D361" s="13">
        <v>0.08</v>
      </c>
      <c r="E361" s="13">
        <v>2.57</v>
      </c>
      <c r="F361" s="13">
        <v>24.36</v>
      </c>
      <c r="G361" s="13">
        <f t="shared" ref="G361:G362" si="101">4*(D361+F361)+(9*E361)</f>
        <v>120.88999999999999</v>
      </c>
      <c r="H361" s="13">
        <v>1.2E-2</v>
      </c>
      <c r="I361" s="13">
        <v>0.19</v>
      </c>
      <c r="J361" s="13">
        <v>8.6</v>
      </c>
      <c r="K361" s="13">
        <v>70</v>
      </c>
      <c r="L361" s="13">
        <v>55</v>
      </c>
      <c r="M361" s="13">
        <v>0.84</v>
      </c>
      <c r="N361" s="13">
        <v>7.16</v>
      </c>
      <c r="O361" s="14">
        <v>0.27</v>
      </c>
    </row>
    <row r="362" spans="1:15" ht="15.75" x14ac:dyDescent="0.25">
      <c r="A362" s="11"/>
      <c r="B362" s="24" t="s">
        <v>110</v>
      </c>
      <c r="C362" s="25">
        <v>100</v>
      </c>
      <c r="D362" s="25">
        <v>0.3</v>
      </c>
      <c r="E362" s="25">
        <v>0</v>
      </c>
      <c r="F362" s="25">
        <v>8.6</v>
      </c>
      <c r="G362" s="13">
        <f t="shared" si="101"/>
        <v>35.6</v>
      </c>
      <c r="H362" s="25">
        <v>0.03</v>
      </c>
      <c r="I362" s="25">
        <v>0.08</v>
      </c>
      <c r="J362" s="25">
        <v>6.4</v>
      </c>
      <c r="K362" s="25">
        <v>36</v>
      </c>
      <c r="L362" s="25">
        <v>16</v>
      </c>
      <c r="M362" s="25">
        <v>9</v>
      </c>
      <c r="N362" s="25">
        <v>11</v>
      </c>
      <c r="O362" s="26">
        <v>1.77</v>
      </c>
    </row>
    <row r="363" spans="1:15" ht="15.75" x14ac:dyDescent="0.25">
      <c r="A363" s="11" t="s">
        <v>114</v>
      </c>
      <c r="B363" s="12" t="s">
        <v>111</v>
      </c>
      <c r="C363" s="13">
        <v>205</v>
      </c>
      <c r="D363" s="13">
        <v>0.05</v>
      </c>
      <c r="E363" s="13">
        <v>0.02</v>
      </c>
      <c r="F363" s="13">
        <v>9.32</v>
      </c>
      <c r="G363" s="13">
        <f t="shared" ref="G363:G364" si="102">4*(D363+F363)+(9*E363)</f>
        <v>37.660000000000004</v>
      </c>
      <c r="H363" s="13">
        <v>0</v>
      </c>
      <c r="I363" s="13">
        <v>0</v>
      </c>
      <c r="J363" s="13">
        <v>3</v>
      </c>
      <c r="K363" s="13">
        <v>0</v>
      </c>
      <c r="L363" s="13">
        <v>8</v>
      </c>
      <c r="M363" s="13">
        <v>0.9</v>
      </c>
      <c r="N363" s="13">
        <v>1.6</v>
      </c>
      <c r="O363" s="14">
        <v>0.19</v>
      </c>
    </row>
    <row r="364" spans="1:15" ht="16.5" thickBot="1" x14ac:dyDescent="0.3">
      <c r="A364" s="11"/>
      <c r="B364" s="12" t="s">
        <v>86</v>
      </c>
      <c r="C364" s="13">
        <v>25</v>
      </c>
      <c r="D364" s="13">
        <v>1.6</v>
      </c>
      <c r="E364" s="13">
        <v>0.2</v>
      </c>
      <c r="F364" s="13">
        <v>10.4</v>
      </c>
      <c r="G364" s="13">
        <f t="shared" si="102"/>
        <v>49.8</v>
      </c>
      <c r="H364" s="13">
        <v>2.1999999999999999E-2</v>
      </c>
      <c r="I364" s="13">
        <v>0.01</v>
      </c>
      <c r="J364" s="13">
        <v>0</v>
      </c>
      <c r="K364" s="13">
        <v>0</v>
      </c>
      <c r="L364" s="13">
        <v>4.5999999999999996</v>
      </c>
      <c r="M364" s="13">
        <v>2.1</v>
      </c>
      <c r="N364" s="13">
        <v>21.2</v>
      </c>
      <c r="O364" s="14">
        <v>0.2</v>
      </c>
    </row>
    <row r="365" spans="1:15" ht="16.5" thickBot="1" x14ac:dyDescent="0.3">
      <c r="A365" s="90" t="s">
        <v>20</v>
      </c>
      <c r="B365" s="91"/>
      <c r="C365" s="9">
        <f>SUM(C360:C364)</f>
        <v>540</v>
      </c>
      <c r="D365" s="9">
        <f t="shared" ref="D365:O365" si="103">SUM(D360:D364)</f>
        <v>12.64</v>
      </c>
      <c r="E365" s="9">
        <f t="shared" si="103"/>
        <v>14.87</v>
      </c>
      <c r="F365" s="9">
        <f t="shared" si="103"/>
        <v>97.38</v>
      </c>
      <c r="G365" s="9">
        <f t="shared" si="103"/>
        <v>573.91</v>
      </c>
      <c r="H365" s="9">
        <f t="shared" si="103"/>
        <v>0.16699999999999998</v>
      </c>
      <c r="I365" s="9">
        <f t="shared" si="103"/>
        <v>0.88</v>
      </c>
      <c r="J365" s="9">
        <f t="shared" si="103"/>
        <v>18</v>
      </c>
      <c r="K365" s="9">
        <f t="shared" si="103"/>
        <v>150.19999999999999</v>
      </c>
      <c r="L365" s="9">
        <f t="shared" si="103"/>
        <v>212.4</v>
      </c>
      <c r="M365" s="9">
        <f t="shared" si="103"/>
        <v>50.040000000000006</v>
      </c>
      <c r="N365" s="9">
        <f t="shared" si="103"/>
        <v>155.55999999999997</v>
      </c>
      <c r="O365" s="10">
        <f t="shared" si="103"/>
        <v>4.7700000000000005</v>
      </c>
    </row>
    <row r="366" spans="1:15" ht="15.75" x14ac:dyDescent="0.25">
      <c r="A366" s="92" t="s">
        <v>21</v>
      </c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4"/>
    </row>
    <row r="367" spans="1:15" ht="31.5" x14ac:dyDescent="0.25">
      <c r="A367" s="39"/>
      <c r="B367" s="46" t="s">
        <v>161</v>
      </c>
      <c r="C367" s="41">
        <v>270</v>
      </c>
      <c r="D367" s="41">
        <v>13.2</v>
      </c>
      <c r="E367" s="41">
        <v>17.5</v>
      </c>
      <c r="F367" s="41">
        <v>34.520000000000003</v>
      </c>
      <c r="G367" s="41">
        <f>4*(D367+F367)+(E367*9)</f>
        <v>348.38</v>
      </c>
      <c r="H367" s="41">
        <v>0.12</v>
      </c>
      <c r="I367" s="41">
        <v>1.2E-2</v>
      </c>
      <c r="J367" s="41">
        <v>4</v>
      </c>
      <c r="K367" s="41">
        <v>141.4</v>
      </c>
      <c r="L367" s="41">
        <v>112.44</v>
      </c>
      <c r="M367" s="41">
        <v>18.399999999999999</v>
      </c>
      <c r="N367" s="41">
        <v>144</v>
      </c>
      <c r="O367" s="42">
        <v>1.26</v>
      </c>
    </row>
    <row r="368" spans="1:15" ht="15.75" x14ac:dyDescent="0.25">
      <c r="A368" s="11" t="s">
        <v>195</v>
      </c>
      <c r="B368" s="12" t="s">
        <v>268</v>
      </c>
      <c r="C368" s="13">
        <v>100</v>
      </c>
      <c r="D368" s="13">
        <v>11.4</v>
      </c>
      <c r="E368" s="13">
        <v>12.94</v>
      </c>
      <c r="F368" s="13">
        <v>17.399999999999999</v>
      </c>
      <c r="G368" s="41">
        <f t="shared" ref="G368:G372" si="104">4*(D368+F368)+(E368*9)</f>
        <v>231.65999999999997</v>
      </c>
      <c r="H368" s="13">
        <v>0.2</v>
      </c>
      <c r="I368" s="13">
        <v>1.0999999999999999E-2</v>
      </c>
      <c r="J368" s="13">
        <v>22</v>
      </c>
      <c r="K368" s="13">
        <v>132</v>
      </c>
      <c r="L368" s="13">
        <v>123.2</v>
      </c>
      <c r="M368" s="13">
        <v>29.6</v>
      </c>
      <c r="N368" s="13">
        <v>107.4</v>
      </c>
      <c r="O368" s="14">
        <v>1.232</v>
      </c>
    </row>
    <row r="369" spans="1:15" ht="15.75" x14ac:dyDescent="0.25">
      <c r="A369" s="11" t="s">
        <v>104</v>
      </c>
      <c r="B369" s="12" t="s">
        <v>131</v>
      </c>
      <c r="C369" s="13">
        <v>180</v>
      </c>
      <c r="D369" s="13">
        <v>5.29</v>
      </c>
      <c r="E369" s="13">
        <v>4.88</v>
      </c>
      <c r="F369" s="13">
        <v>34.26</v>
      </c>
      <c r="G369" s="13">
        <f t="shared" ref="G369" si="105">4*(D369+F369)+(9*E369)</f>
        <v>202.12</v>
      </c>
      <c r="H369" s="13">
        <v>0.21</v>
      </c>
      <c r="I369" s="13">
        <v>0</v>
      </c>
      <c r="J369" s="13">
        <v>0.05</v>
      </c>
      <c r="K369" s="13">
        <v>128.5</v>
      </c>
      <c r="L369" s="13">
        <v>97.24</v>
      </c>
      <c r="M369" s="13">
        <v>36.200000000000003</v>
      </c>
      <c r="N369" s="13">
        <v>96</v>
      </c>
      <c r="O369" s="14">
        <v>1.03</v>
      </c>
    </row>
    <row r="370" spans="1:15" ht="15.75" x14ac:dyDescent="0.25">
      <c r="A370" s="11" t="s">
        <v>242</v>
      </c>
      <c r="B370" s="12" t="s">
        <v>241</v>
      </c>
      <c r="C370" s="13">
        <v>100</v>
      </c>
      <c r="D370" s="13">
        <v>1.66</v>
      </c>
      <c r="E370" s="13">
        <v>1.2</v>
      </c>
      <c r="F370" s="13">
        <v>2.1</v>
      </c>
      <c r="G370" s="41">
        <f t="shared" si="104"/>
        <v>25.839999999999996</v>
      </c>
      <c r="H370" s="13">
        <v>0.2</v>
      </c>
      <c r="I370" s="13">
        <v>0.15</v>
      </c>
      <c r="J370" s="13">
        <v>3.5</v>
      </c>
      <c r="K370" s="13">
        <v>0</v>
      </c>
      <c r="L370" s="13">
        <v>88.4</v>
      </c>
      <c r="M370" s="13">
        <v>6</v>
      </c>
      <c r="N370" s="13">
        <v>119.6</v>
      </c>
      <c r="O370" s="14">
        <v>0.54</v>
      </c>
    </row>
    <row r="371" spans="1:15" ht="15.75" x14ac:dyDescent="0.25">
      <c r="A371" s="11" t="s">
        <v>112</v>
      </c>
      <c r="B371" s="12" t="s">
        <v>109</v>
      </c>
      <c r="C371" s="13">
        <v>180</v>
      </c>
      <c r="D371" s="13">
        <v>0.12</v>
      </c>
      <c r="E371" s="13">
        <v>0</v>
      </c>
      <c r="F371" s="13">
        <v>27.4</v>
      </c>
      <c r="G371" s="41">
        <f t="shared" si="104"/>
        <v>110.08</v>
      </c>
      <c r="H371" s="13">
        <v>4.2999999999999997E-2</v>
      </c>
      <c r="I371" s="13">
        <v>1.6E-2</v>
      </c>
      <c r="J371" s="13">
        <v>0</v>
      </c>
      <c r="K371" s="13">
        <v>0.16</v>
      </c>
      <c r="L371" s="13">
        <v>12.6</v>
      </c>
      <c r="M371" s="13">
        <v>36.299999999999997</v>
      </c>
      <c r="N371" s="13">
        <v>8.9</v>
      </c>
      <c r="O371" s="14">
        <v>0.26100000000000001</v>
      </c>
    </row>
    <row r="372" spans="1:15" ht="16.5" thickBot="1" x14ac:dyDescent="0.3">
      <c r="A372" s="23"/>
      <c r="B372" s="24" t="s">
        <v>92</v>
      </c>
      <c r="C372" s="25">
        <v>25</v>
      </c>
      <c r="D372" s="13">
        <v>1.3</v>
      </c>
      <c r="E372" s="13">
        <v>0.2</v>
      </c>
      <c r="F372" s="13">
        <v>8.1999999999999993</v>
      </c>
      <c r="G372" s="41">
        <f t="shared" si="104"/>
        <v>39.799999999999997</v>
      </c>
      <c r="H372" s="13">
        <v>2.1999999999999999E-2</v>
      </c>
      <c r="I372" s="13">
        <v>0.01</v>
      </c>
      <c r="J372" s="13">
        <v>0</v>
      </c>
      <c r="K372" s="13">
        <v>0</v>
      </c>
      <c r="L372" s="13">
        <v>5</v>
      </c>
      <c r="M372" s="13">
        <v>2.8</v>
      </c>
      <c r="N372" s="13">
        <v>13</v>
      </c>
      <c r="O372" s="14">
        <v>0.22</v>
      </c>
    </row>
    <row r="373" spans="1:15" ht="16.5" thickBot="1" x14ac:dyDescent="0.3">
      <c r="A373" s="90" t="s">
        <v>20</v>
      </c>
      <c r="B373" s="91"/>
      <c r="C373" s="9">
        <f t="shared" ref="C373:O373" si="106">SUM(C367:C372)</f>
        <v>855</v>
      </c>
      <c r="D373" s="9">
        <f t="shared" si="106"/>
        <v>32.97</v>
      </c>
      <c r="E373" s="9">
        <f t="shared" si="106"/>
        <v>36.720000000000006</v>
      </c>
      <c r="F373" s="9">
        <f t="shared" si="106"/>
        <v>123.88000000000001</v>
      </c>
      <c r="G373" s="9">
        <f t="shared" si="106"/>
        <v>957.88</v>
      </c>
      <c r="H373" s="9">
        <f t="shared" si="106"/>
        <v>0.79500000000000004</v>
      </c>
      <c r="I373" s="9">
        <f t="shared" si="106"/>
        <v>0.19900000000000001</v>
      </c>
      <c r="J373" s="9">
        <f t="shared" si="106"/>
        <v>29.55</v>
      </c>
      <c r="K373" s="9">
        <f t="shared" si="106"/>
        <v>402.06</v>
      </c>
      <c r="L373" s="9">
        <f t="shared" si="106"/>
        <v>438.88</v>
      </c>
      <c r="M373" s="9">
        <f t="shared" si="106"/>
        <v>129.30000000000001</v>
      </c>
      <c r="N373" s="9">
        <f t="shared" si="106"/>
        <v>488.9</v>
      </c>
      <c r="O373" s="10">
        <f t="shared" si="106"/>
        <v>4.5430000000000001</v>
      </c>
    </row>
    <row r="374" spans="1:15" ht="16.5" thickBot="1" x14ac:dyDescent="0.3">
      <c r="A374" s="28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30"/>
    </row>
    <row r="375" spans="1:15" ht="15.75" x14ac:dyDescent="0.25">
      <c r="A375" s="144" t="s">
        <v>72</v>
      </c>
      <c r="B375" s="145"/>
      <c r="C375" s="67">
        <f t="shared" ref="C375:O375" si="107">C358+C373</f>
        <v>1390</v>
      </c>
      <c r="D375" s="68">
        <f t="shared" si="107"/>
        <v>52.010000000000005</v>
      </c>
      <c r="E375" s="68">
        <f t="shared" si="107"/>
        <v>56.09</v>
      </c>
      <c r="F375" s="68">
        <f t="shared" si="107"/>
        <v>224</v>
      </c>
      <c r="G375" s="68">
        <f t="shared" si="107"/>
        <v>1608.85</v>
      </c>
      <c r="H375" s="67">
        <f t="shared" si="107"/>
        <v>0.90900000000000003</v>
      </c>
      <c r="I375" s="67">
        <f t="shared" si="107"/>
        <v>1.052</v>
      </c>
      <c r="J375" s="67">
        <f t="shared" si="107"/>
        <v>42.85</v>
      </c>
      <c r="K375" s="79">
        <f t="shared" si="107"/>
        <v>540.05999999999995</v>
      </c>
      <c r="L375" s="79">
        <f t="shared" si="107"/>
        <v>720.88</v>
      </c>
      <c r="M375" s="79">
        <f t="shared" si="107"/>
        <v>180.94</v>
      </c>
      <c r="N375" s="79">
        <f t="shared" si="107"/>
        <v>720.62</v>
      </c>
      <c r="O375" s="69">
        <f t="shared" si="107"/>
        <v>10.883000000000001</v>
      </c>
    </row>
    <row r="376" spans="1:15" ht="16.5" thickBot="1" x14ac:dyDescent="0.3">
      <c r="A376" s="146" t="s">
        <v>73</v>
      </c>
      <c r="B376" s="147"/>
      <c r="C376" s="70">
        <f t="shared" ref="C376:O376" si="108">C365+C373</f>
        <v>1395</v>
      </c>
      <c r="D376" s="71">
        <f t="shared" si="108"/>
        <v>45.61</v>
      </c>
      <c r="E376" s="71">
        <f t="shared" si="108"/>
        <v>51.59</v>
      </c>
      <c r="F376" s="71">
        <f t="shared" si="108"/>
        <v>221.26</v>
      </c>
      <c r="G376" s="71">
        <f t="shared" si="108"/>
        <v>1531.79</v>
      </c>
      <c r="H376" s="70">
        <f t="shared" si="108"/>
        <v>0.96199999999999997</v>
      </c>
      <c r="I376" s="70">
        <f t="shared" si="108"/>
        <v>1.079</v>
      </c>
      <c r="J376" s="70">
        <f t="shared" si="108"/>
        <v>47.55</v>
      </c>
      <c r="K376" s="77">
        <f t="shared" si="108"/>
        <v>552.26</v>
      </c>
      <c r="L376" s="77">
        <f t="shared" si="108"/>
        <v>651.28</v>
      </c>
      <c r="M376" s="77">
        <f t="shared" si="108"/>
        <v>179.34000000000003</v>
      </c>
      <c r="N376" s="77">
        <f t="shared" si="108"/>
        <v>644.45999999999992</v>
      </c>
      <c r="O376" s="72">
        <f t="shared" si="108"/>
        <v>9.3130000000000006</v>
      </c>
    </row>
    <row r="377" spans="1:15" s="1" customFormat="1" ht="15.75" x14ac:dyDescent="0.25">
      <c r="A377" s="32"/>
      <c r="B377" s="32"/>
      <c r="C377" s="34"/>
      <c r="D377" s="33"/>
      <c r="E377" s="33"/>
      <c r="F377" s="33"/>
      <c r="G377" s="33"/>
      <c r="H377" s="34"/>
      <c r="I377" s="34"/>
      <c r="J377" s="34"/>
      <c r="K377" s="33"/>
      <c r="L377" s="33"/>
      <c r="M377" s="33"/>
      <c r="N377" s="33"/>
      <c r="O377" s="34"/>
    </row>
    <row r="378" spans="1:15" s="1" customFormat="1" ht="15.75" x14ac:dyDescent="0.25">
      <c r="A378" s="32"/>
      <c r="B378" s="32"/>
      <c r="C378" s="34"/>
      <c r="D378" s="33"/>
      <c r="E378" s="33"/>
      <c r="F378" s="33"/>
      <c r="G378" s="33"/>
      <c r="H378" s="34"/>
      <c r="I378" s="34"/>
      <c r="J378" s="34"/>
      <c r="K378" s="33"/>
      <c r="L378" s="33"/>
      <c r="M378" s="33"/>
      <c r="N378" s="33"/>
      <c r="O378" s="34"/>
    </row>
    <row r="379" spans="1:15" s="1" customFormat="1" x14ac:dyDescent="0.25">
      <c r="A379" s="87" t="s">
        <v>210</v>
      </c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</row>
    <row r="380" spans="1:15" s="1" customFormat="1" ht="15.75" x14ac:dyDescent="0.25">
      <c r="A380" s="32"/>
      <c r="B380" s="32"/>
      <c r="C380" s="34"/>
      <c r="D380" s="33"/>
      <c r="E380" s="33"/>
      <c r="F380" s="33"/>
      <c r="G380" s="33"/>
      <c r="H380" s="34"/>
      <c r="I380" s="34"/>
      <c r="J380" s="34"/>
      <c r="K380" s="33"/>
      <c r="L380" s="33"/>
      <c r="M380" s="33"/>
      <c r="N380" s="33"/>
      <c r="O380" s="34"/>
    </row>
    <row r="381" spans="1:15" s="1" customFormat="1" ht="15.75" x14ac:dyDescent="0.25">
      <c r="A381" s="151" t="s">
        <v>207</v>
      </c>
      <c r="B381" s="151"/>
      <c r="C381" s="151"/>
      <c r="D381" s="151"/>
      <c r="E381" s="151"/>
      <c r="F381" s="151"/>
      <c r="G381" s="151"/>
      <c r="H381" s="151"/>
      <c r="I381" s="151"/>
      <c r="J381" s="151"/>
      <c r="K381" s="151"/>
      <c r="L381" s="151"/>
      <c r="M381" s="151"/>
      <c r="N381" s="151"/>
      <c r="O381" s="151"/>
    </row>
    <row r="382" spans="1:15" s="1" customFormat="1" ht="16.5" thickBot="1" x14ac:dyDescent="0.3">
      <c r="A382" s="32"/>
      <c r="B382" s="32"/>
      <c r="C382" s="34"/>
      <c r="D382" s="33"/>
      <c r="E382" s="33"/>
      <c r="F382" s="33"/>
      <c r="G382" s="33"/>
      <c r="H382" s="34"/>
      <c r="I382" s="34"/>
      <c r="J382" s="34"/>
      <c r="K382" s="33"/>
      <c r="L382" s="33"/>
      <c r="M382" s="33"/>
      <c r="N382" s="33"/>
      <c r="O382" s="34"/>
    </row>
    <row r="383" spans="1:15" s="1" customFormat="1" ht="15" customHeight="1" x14ac:dyDescent="0.25">
      <c r="A383" s="98" t="s">
        <v>0</v>
      </c>
      <c r="B383" s="100" t="s">
        <v>1</v>
      </c>
      <c r="C383" s="102" t="s">
        <v>2</v>
      </c>
      <c r="D383" s="104" t="s">
        <v>3</v>
      </c>
      <c r="E383" s="105"/>
      <c r="F383" s="106"/>
      <c r="G383" s="102" t="s">
        <v>4</v>
      </c>
      <c r="H383" s="107" t="s">
        <v>5</v>
      </c>
      <c r="I383" s="107"/>
      <c r="J383" s="107"/>
      <c r="K383" s="107"/>
      <c r="L383" s="108" t="s">
        <v>6</v>
      </c>
      <c r="M383" s="109"/>
      <c r="N383" s="109"/>
      <c r="O383" s="110"/>
    </row>
    <row r="384" spans="1:15" ht="51" customHeight="1" thickBot="1" x14ac:dyDescent="0.3">
      <c r="A384" s="99"/>
      <c r="B384" s="101"/>
      <c r="C384" s="103"/>
      <c r="D384" s="35" t="s">
        <v>7</v>
      </c>
      <c r="E384" s="35" t="s">
        <v>8</v>
      </c>
      <c r="F384" s="35" t="s">
        <v>9</v>
      </c>
      <c r="G384" s="103"/>
      <c r="H384" s="36" t="s">
        <v>10</v>
      </c>
      <c r="I384" s="36" t="s">
        <v>16</v>
      </c>
      <c r="J384" s="36" t="s">
        <v>11</v>
      </c>
      <c r="K384" s="36" t="s">
        <v>17</v>
      </c>
      <c r="L384" s="37" t="s">
        <v>12</v>
      </c>
      <c r="M384" s="36" t="s">
        <v>13</v>
      </c>
      <c r="N384" s="36" t="s">
        <v>14</v>
      </c>
      <c r="O384" s="38" t="s">
        <v>15</v>
      </c>
    </row>
    <row r="385" spans="1:15" ht="15.75" x14ac:dyDescent="0.25">
      <c r="A385" s="84" t="s">
        <v>69</v>
      </c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6"/>
    </row>
    <row r="386" spans="1:15" ht="15.75" x14ac:dyDescent="0.25">
      <c r="A386" s="92" t="s">
        <v>47</v>
      </c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4"/>
    </row>
    <row r="387" spans="1:15" ht="15.75" x14ac:dyDescent="0.25">
      <c r="A387" s="11" t="s">
        <v>206</v>
      </c>
      <c r="B387" s="12" t="s">
        <v>198</v>
      </c>
      <c r="C387" s="13">
        <v>110</v>
      </c>
      <c r="D387" s="13">
        <v>13.48</v>
      </c>
      <c r="E387" s="13">
        <v>13.8</v>
      </c>
      <c r="F387" s="13">
        <v>15.25</v>
      </c>
      <c r="G387" s="13">
        <f>4*(D387+F387)+(9*E387)</f>
        <v>239.12</v>
      </c>
      <c r="H387" s="13">
        <v>0.09</v>
      </c>
      <c r="I387" s="13">
        <v>0.25</v>
      </c>
      <c r="J387" s="13">
        <v>6</v>
      </c>
      <c r="K387" s="13">
        <v>133.80000000000001</v>
      </c>
      <c r="L387" s="13">
        <v>164.8</v>
      </c>
      <c r="M387" s="13">
        <v>29.4</v>
      </c>
      <c r="N387" s="13">
        <v>143.4</v>
      </c>
      <c r="O387" s="14">
        <v>2.3199999999999998</v>
      </c>
    </row>
    <row r="388" spans="1:15" ht="15.75" x14ac:dyDescent="0.25">
      <c r="A388" s="11" t="s">
        <v>205</v>
      </c>
      <c r="B388" s="12" t="s">
        <v>199</v>
      </c>
      <c r="C388" s="13">
        <v>180</v>
      </c>
      <c r="D388" s="13">
        <v>4.2</v>
      </c>
      <c r="E388" s="13">
        <v>12.1</v>
      </c>
      <c r="F388" s="13">
        <v>45.3</v>
      </c>
      <c r="G388" s="13">
        <f t="shared" ref="G388:G389" si="109">4*(D388+F388)+(9*E388)</f>
        <v>306.89999999999998</v>
      </c>
      <c r="H388" s="13">
        <v>0.44</v>
      </c>
      <c r="I388" s="13">
        <v>0.45</v>
      </c>
      <c r="J388" s="13">
        <v>0.3</v>
      </c>
      <c r="K388" s="13">
        <v>142</v>
      </c>
      <c r="L388" s="13">
        <v>157.30000000000001</v>
      </c>
      <c r="M388" s="13">
        <v>27.5</v>
      </c>
      <c r="N388" s="13">
        <v>85.62</v>
      </c>
      <c r="O388" s="14">
        <v>1.89</v>
      </c>
    </row>
    <row r="389" spans="1:15" ht="15.75" x14ac:dyDescent="0.25">
      <c r="A389" s="23" t="s">
        <v>114</v>
      </c>
      <c r="B389" s="24" t="s">
        <v>84</v>
      </c>
      <c r="C389" s="25">
        <v>200</v>
      </c>
      <c r="D389" s="25">
        <v>7.0000000000000007E-2</v>
      </c>
      <c r="E389" s="25">
        <v>0.02</v>
      </c>
      <c r="F389" s="25">
        <v>16.89</v>
      </c>
      <c r="G389" s="13">
        <f t="shared" si="109"/>
        <v>68.02000000000001</v>
      </c>
      <c r="H389" s="25">
        <v>2.8000000000000001E-2</v>
      </c>
      <c r="I389" s="25">
        <v>0.04</v>
      </c>
      <c r="J389" s="25">
        <v>0</v>
      </c>
      <c r="K389" s="25">
        <v>0</v>
      </c>
      <c r="L389" s="25">
        <v>8.0500000000000007</v>
      </c>
      <c r="M389" s="25">
        <v>5.24</v>
      </c>
      <c r="N389" s="25">
        <v>9.7799999999999994</v>
      </c>
      <c r="O389" s="26">
        <v>0.19</v>
      </c>
    </row>
    <row r="390" spans="1:15" ht="15.75" x14ac:dyDescent="0.25">
      <c r="A390" s="11"/>
      <c r="B390" s="12" t="s">
        <v>86</v>
      </c>
      <c r="C390" s="13">
        <v>25</v>
      </c>
      <c r="D390" s="13">
        <v>1.6</v>
      </c>
      <c r="E390" s="13">
        <v>0.2</v>
      </c>
      <c r="F390" s="13">
        <v>10.4</v>
      </c>
      <c r="G390" s="41">
        <f t="shared" ref="G390:G391" si="110">4*(D390+F390)+(E390*9)</f>
        <v>49.8</v>
      </c>
      <c r="H390" s="13">
        <v>2.1999999999999999E-2</v>
      </c>
      <c r="I390" s="13">
        <v>0.01</v>
      </c>
      <c r="J390" s="13">
        <v>0</v>
      </c>
      <c r="K390" s="13">
        <v>0</v>
      </c>
      <c r="L390" s="13">
        <v>4.5999999999999996</v>
      </c>
      <c r="M390" s="13">
        <v>2.1</v>
      </c>
      <c r="N390" s="13">
        <v>21.2</v>
      </c>
      <c r="O390" s="14">
        <v>0.2</v>
      </c>
    </row>
    <row r="391" spans="1:15" ht="16.5" thickBot="1" x14ac:dyDescent="0.3">
      <c r="A391" s="11"/>
      <c r="B391" s="24" t="s">
        <v>92</v>
      </c>
      <c r="C391" s="25">
        <v>25</v>
      </c>
      <c r="D391" s="13">
        <v>1.3</v>
      </c>
      <c r="E391" s="13">
        <v>0.2</v>
      </c>
      <c r="F391" s="13">
        <v>8.1999999999999993</v>
      </c>
      <c r="G391" s="41">
        <f t="shared" si="110"/>
        <v>39.799999999999997</v>
      </c>
      <c r="H391" s="13">
        <v>2.1999999999999999E-2</v>
      </c>
      <c r="I391" s="13">
        <v>0.01</v>
      </c>
      <c r="J391" s="13">
        <v>0</v>
      </c>
      <c r="K391" s="13">
        <v>0</v>
      </c>
      <c r="L391" s="13">
        <v>5</v>
      </c>
      <c r="M391" s="13">
        <v>2.8</v>
      </c>
      <c r="N391" s="13">
        <v>13</v>
      </c>
      <c r="O391" s="14">
        <v>0.22</v>
      </c>
    </row>
    <row r="392" spans="1:15" ht="16.5" thickBot="1" x14ac:dyDescent="0.3">
      <c r="A392" s="90" t="s">
        <v>20</v>
      </c>
      <c r="B392" s="91"/>
      <c r="C392" s="9">
        <f>SUM(C387:C391)</f>
        <v>540</v>
      </c>
      <c r="D392" s="9">
        <f t="shared" ref="D392:O392" si="111">SUM(D387:D391)</f>
        <v>20.650000000000002</v>
      </c>
      <c r="E392" s="9">
        <f t="shared" si="111"/>
        <v>26.319999999999997</v>
      </c>
      <c r="F392" s="61">
        <f t="shared" si="111"/>
        <v>96.04</v>
      </c>
      <c r="G392" s="9">
        <f t="shared" si="111"/>
        <v>703.63999999999987</v>
      </c>
      <c r="H392" s="62">
        <f t="shared" si="111"/>
        <v>0.60200000000000009</v>
      </c>
      <c r="I392" s="9">
        <f t="shared" si="111"/>
        <v>0.76</v>
      </c>
      <c r="J392" s="9">
        <f t="shared" si="111"/>
        <v>6.3</v>
      </c>
      <c r="K392" s="9">
        <f t="shared" si="111"/>
        <v>275.8</v>
      </c>
      <c r="L392" s="9">
        <f t="shared" si="111"/>
        <v>339.75000000000006</v>
      </c>
      <c r="M392" s="9">
        <f t="shared" si="111"/>
        <v>67.039999999999992</v>
      </c>
      <c r="N392" s="9">
        <f t="shared" si="111"/>
        <v>273</v>
      </c>
      <c r="O392" s="10">
        <f t="shared" si="111"/>
        <v>4.82</v>
      </c>
    </row>
    <row r="393" spans="1:15" ht="15.75" x14ac:dyDescent="0.25">
      <c r="A393" s="92" t="s">
        <v>48</v>
      </c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4"/>
    </row>
    <row r="394" spans="1:15" ht="15.75" x14ac:dyDescent="0.25">
      <c r="A394" s="11" t="s">
        <v>124</v>
      </c>
      <c r="B394" s="12" t="s">
        <v>200</v>
      </c>
      <c r="C394" s="13">
        <v>200</v>
      </c>
      <c r="D394" s="13">
        <v>8.15</v>
      </c>
      <c r="E394" s="13">
        <v>10.79</v>
      </c>
      <c r="F394" s="13">
        <v>42.12</v>
      </c>
      <c r="G394" s="13">
        <f>4*(D394+F394)+(9*E394)</f>
        <v>298.18999999999994</v>
      </c>
      <c r="H394" s="13">
        <v>0.13</v>
      </c>
      <c r="I394" s="13">
        <v>0.53</v>
      </c>
      <c r="J394" s="13">
        <v>0.6</v>
      </c>
      <c r="K394" s="13">
        <v>148.6</v>
      </c>
      <c r="L394" s="13">
        <v>168.6</v>
      </c>
      <c r="M394" s="13">
        <v>43.3</v>
      </c>
      <c r="N394" s="13">
        <v>108.5</v>
      </c>
      <c r="O394" s="14">
        <v>1.27</v>
      </c>
    </row>
    <row r="395" spans="1:15" ht="15.75" x14ac:dyDescent="0.25">
      <c r="A395" s="11"/>
      <c r="B395" s="12" t="s">
        <v>186</v>
      </c>
      <c r="C395" s="49">
        <v>50</v>
      </c>
      <c r="D395" s="13">
        <v>10.47</v>
      </c>
      <c r="E395" s="13">
        <v>10.89</v>
      </c>
      <c r="F395" s="13">
        <v>16.48</v>
      </c>
      <c r="G395" s="13">
        <f>4*(D395+F395)+(9*E395)</f>
        <v>205.81</v>
      </c>
      <c r="H395" s="13">
        <v>0.45</v>
      </c>
      <c r="I395" s="13">
        <v>0.05</v>
      </c>
      <c r="J395" s="13">
        <v>2</v>
      </c>
      <c r="K395" s="13">
        <v>127</v>
      </c>
      <c r="L395" s="13">
        <v>148</v>
      </c>
      <c r="M395" s="13">
        <v>14.1</v>
      </c>
      <c r="N395" s="13">
        <v>107.7</v>
      </c>
      <c r="O395" s="14">
        <v>0.38</v>
      </c>
    </row>
    <row r="396" spans="1:15" ht="15.75" x14ac:dyDescent="0.25">
      <c r="A396" s="11"/>
      <c r="B396" s="12" t="s">
        <v>94</v>
      </c>
      <c r="C396" s="13">
        <v>200</v>
      </c>
      <c r="D396" s="25">
        <v>1</v>
      </c>
      <c r="E396" s="25">
        <v>0</v>
      </c>
      <c r="F396" s="25">
        <v>20.2</v>
      </c>
      <c r="G396" s="13">
        <f>4*(D396+F396)+(E396*9)</f>
        <v>84.8</v>
      </c>
      <c r="H396" s="25">
        <v>0</v>
      </c>
      <c r="I396" s="25">
        <v>3.0000000000000001E-3</v>
      </c>
      <c r="J396" s="25">
        <v>4</v>
      </c>
      <c r="K396" s="25">
        <v>0</v>
      </c>
      <c r="L396" s="25">
        <v>14.8</v>
      </c>
      <c r="M396" s="25">
        <v>8</v>
      </c>
      <c r="N396" s="25">
        <v>14.08</v>
      </c>
      <c r="O396" s="26">
        <v>2.8</v>
      </c>
    </row>
    <row r="397" spans="1:15" ht="16.5" thickBot="1" x14ac:dyDescent="0.3">
      <c r="A397" s="11"/>
      <c r="B397" s="12" t="s">
        <v>86</v>
      </c>
      <c r="C397" s="13">
        <v>50</v>
      </c>
      <c r="D397" s="13">
        <v>3.2</v>
      </c>
      <c r="E397" s="13">
        <v>0.4</v>
      </c>
      <c r="F397" s="13">
        <v>20.8</v>
      </c>
      <c r="G397" s="13">
        <f>4*(D397+F397)+(E397*9)</f>
        <v>99.6</v>
      </c>
      <c r="H397" s="13">
        <v>4.3999999999999997E-2</v>
      </c>
      <c r="I397" s="13">
        <v>0.02</v>
      </c>
      <c r="J397" s="13">
        <v>0</v>
      </c>
      <c r="K397" s="13">
        <v>0</v>
      </c>
      <c r="L397" s="13">
        <v>9.1999999999999993</v>
      </c>
      <c r="M397" s="13">
        <v>4.2</v>
      </c>
      <c r="N397" s="13">
        <v>42.4</v>
      </c>
      <c r="O397" s="14">
        <v>0.4</v>
      </c>
    </row>
    <row r="398" spans="1:15" ht="16.5" thickBot="1" x14ac:dyDescent="0.3">
      <c r="A398" s="90" t="s">
        <v>20</v>
      </c>
      <c r="B398" s="91"/>
      <c r="C398" s="9">
        <f>SUM(C394:C397)</f>
        <v>500</v>
      </c>
      <c r="D398" s="9">
        <f t="shared" ref="D398:O398" si="112">SUM(D394:D397)</f>
        <v>22.82</v>
      </c>
      <c r="E398" s="9">
        <f t="shared" si="112"/>
        <v>22.08</v>
      </c>
      <c r="F398" s="9">
        <f t="shared" si="112"/>
        <v>99.6</v>
      </c>
      <c r="G398" s="9">
        <f t="shared" si="112"/>
        <v>688.4</v>
      </c>
      <c r="H398" s="9">
        <f t="shared" si="112"/>
        <v>0.62400000000000011</v>
      </c>
      <c r="I398" s="9">
        <f t="shared" si="112"/>
        <v>0.60300000000000009</v>
      </c>
      <c r="J398" s="9">
        <f t="shared" si="112"/>
        <v>6.6</v>
      </c>
      <c r="K398" s="9">
        <f t="shared" si="112"/>
        <v>275.60000000000002</v>
      </c>
      <c r="L398" s="9">
        <f t="shared" si="112"/>
        <v>340.6</v>
      </c>
      <c r="M398" s="9">
        <f t="shared" si="112"/>
        <v>69.600000000000009</v>
      </c>
      <c r="N398" s="9">
        <f t="shared" si="112"/>
        <v>272.68</v>
      </c>
      <c r="O398" s="10">
        <f t="shared" si="112"/>
        <v>4.8499999999999996</v>
      </c>
    </row>
    <row r="399" spans="1:15" ht="15.75" x14ac:dyDescent="0.25">
      <c r="A399" s="92" t="s">
        <v>21</v>
      </c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4"/>
    </row>
    <row r="400" spans="1:15" ht="15.75" x14ac:dyDescent="0.25">
      <c r="A400" s="11" t="s">
        <v>204</v>
      </c>
      <c r="B400" s="12" t="s">
        <v>201</v>
      </c>
      <c r="C400" s="13">
        <v>250</v>
      </c>
      <c r="D400" s="13">
        <v>10.199999999999999</v>
      </c>
      <c r="E400" s="13">
        <v>12.46</v>
      </c>
      <c r="F400" s="13">
        <v>39.47</v>
      </c>
      <c r="G400" s="13">
        <f>4*(D400+F400)+(9*E400)</f>
        <v>310.82000000000005</v>
      </c>
      <c r="H400" s="13">
        <v>0.05</v>
      </c>
      <c r="I400" s="13">
        <v>9.5000000000000001E-2</v>
      </c>
      <c r="J400" s="13">
        <v>9.6</v>
      </c>
      <c r="K400" s="13">
        <v>138.4</v>
      </c>
      <c r="L400" s="13">
        <v>154.80000000000001</v>
      </c>
      <c r="M400" s="13">
        <v>57.5</v>
      </c>
      <c r="N400" s="13">
        <v>38</v>
      </c>
      <c r="O400" s="14">
        <v>0.64</v>
      </c>
    </row>
    <row r="401" spans="1:15" ht="15.75" x14ac:dyDescent="0.25">
      <c r="A401" s="11" t="s">
        <v>203</v>
      </c>
      <c r="B401" s="12" t="s">
        <v>202</v>
      </c>
      <c r="C401" s="13">
        <v>200</v>
      </c>
      <c r="D401" s="13">
        <v>18.47</v>
      </c>
      <c r="E401" s="13">
        <v>16.23</v>
      </c>
      <c r="F401" s="13">
        <v>33.6</v>
      </c>
      <c r="G401" s="13">
        <f t="shared" ref="G401:G403" si="113">4*(D401+F401)+(9*E401)</f>
        <v>354.35</v>
      </c>
      <c r="H401" s="13">
        <v>0.18</v>
      </c>
      <c r="I401" s="13">
        <v>0.15</v>
      </c>
      <c r="J401" s="13">
        <v>4.78</v>
      </c>
      <c r="K401" s="13">
        <v>126.7</v>
      </c>
      <c r="L401" s="13">
        <v>177.76</v>
      </c>
      <c r="M401" s="13">
        <v>36.520000000000003</v>
      </c>
      <c r="N401" s="13">
        <v>349.8</v>
      </c>
      <c r="O401" s="14">
        <v>4.46</v>
      </c>
    </row>
    <row r="402" spans="1:15" ht="15.75" x14ac:dyDescent="0.25">
      <c r="A402" s="11"/>
      <c r="B402" s="12" t="s">
        <v>239</v>
      </c>
      <c r="C402" s="13">
        <v>100</v>
      </c>
      <c r="D402" s="13">
        <v>0.66</v>
      </c>
      <c r="E402" s="13">
        <v>1.2</v>
      </c>
      <c r="F402" s="13">
        <v>2.1</v>
      </c>
      <c r="G402" s="13">
        <f t="shared" si="113"/>
        <v>21.84</v>
      </c>
      <c r="H402" s="13">
        <v>3.5999999999999997E-2</v>
      </c>
      <c r="I402" s="13">
        <v>2.4E-2</v>
      </c>
      <c r="J402" s="13">
        <v>1.5</v>
      </c>
      <c r="K402" s="13">
        <v>0</v>
      </c>
      <c r="L402" s="13">
        <v>18.399999999999999</v>
      </c>
      <c r="M402" s="13">
        <v>10</v>
      </c>
      <c r="N402" s="13">
        <v>15.6</v>
      </c>
      <c r="O402" s="14">
        <v>0.54</v>
      </c>
    </row>
    <row r="403" spans="1:15" ht="15.75" x14ac:dyDescent="0.25">
      <c r="A403" s="11" t="s">
        <v>133</v>
      </c>
      <c r="B403" s="12" t="s">
        <v>101</v>
      </c>
      <c r="C403" s="13">
        <v>200</v>
      </c>
      <c r="D403" s="13">
        <v>0.26</v>
      </c>
      <c r="E403" s="13">
        <v>0.12</v>
      </c>
      <c r="F403" s="13">
        <v>21.8</v>
      </c>
      <c r="G403" s="13">
        <f t="shared" si="113"/>
        <v>89.320000000000007</v>
      </c>
      <c r="H403" s="13">
        <v>0</v>
      </c>
      <c r="I403" s="13">
        <v>0.05</v>
      </c>
      <c r="J403" s="13">
        <v>20.399999999999999</v>
      </c>
      <c r="K403" s="13">
        <v>0</v>
      </c>
      <c r="L403" s="13">
        <v>19.2</v>
      </c>
      <c r="M403" s="13">
        <v>4.0999999999999996</v>
      </c>
      <c r="N403" s="13">
        <v>9.8000000000000007</v>
      </c>
      <c r="O403" s="14">
        <v>0.4</v>
      </c>
    </row>
    <row r="404" spans="1:15" ht="15.75" x14ac:dyDescent="0.25">
      <c r="A404" s="11"/>
      <c r="B404" s="12" t="s">
        <v>86</v>
      </c>
      <c r="C404" s="13">
        <v>25</v>
      </c>
      <c r="D404" s="13">
        <v>1.6</v>
      </c>
      <c r="E404" s="13">
        <v>0.2</v>
      </c>
      <c r="F404" s="13">
        <v>10.4</v>
      </c>
      <c r="G404" s="41">
        <f t="shared" ref="G404:G405" si="114">4*(D404+F404)+(E404*9)</f>
        <v>49.8</v>
      </c>
      <c r="H404" s="13">
        <v>2.1999999999999999E-2</v>
      </c>
      <c r="I404" s="13">
        <v>0.01</v>
      </c>
      <c r="J404" s="13">
        <v>0</v>
      </c>
      <c r="K404" s="13">
        <v>0</v>
      </c>
      <c r="L404" s="13">
        <v>4.5999999999999996</v>
      </c>
      <c r="M404" s="13">
        <v>2.1</v>
      </c>
      <c r="N404" s="13">
        <v>21.2</v>
      </c>
      <c r="O404" s="14">
        <v>0.2</v>
      </c>
    </row>
    <row r="405" spans="1:15" ht="16.5" thickBot="1" x14ac:dyDescent="0.3">
      <c r="A405" s="23"/>
      <c r="B405" s="24" t="s">
        <v>92</v>
      </c>
      <c r="C405" s="25">
        <v>25</v>
      </c>
      <c r="D405" s="13">
        <v>1.3</v>
      </c>
      <c r="E405" s="13">
        <v>0.2</v>
      </c>
      <c r="F405" s="13">
        <v>8.1999999999999993</v>
      </c>
      <c r="G405" s="41">
        <f t="shared" si="114"/>
        <v>39.799999999999997</v>
      </c>
      <c r="H405" s="13">
        <v>2.1999999999999999E-2</v>
      </c>
      <c r="I405" s="13">
        <v>0.01</v>
      </c>
      <c r="J405" s="13">
        <v>0</v>
      </c>
      <c r="K405" s="13">
        <v>0</v>
      </c>
      <c r="L405" s="13">
        <v>5</v>
      </c>
      <c r="M405" s="13">
        <v>2.8</v>
      </c>
      <c r="N405" s="13">
        <v>13</v>
      </c>
      <c r="O405" s="14">
        <v>0.22</v>
      </c>
    </row>
    <row r="406" spans="1:15" ht="16.5" thickBot="1" x14ac:dyDescent="0.3">
      <c r="A406" s="90" t="s">
        <v>20</v>
      </c>
      <c r="B406" s="91"/>
      <c r="C406" s="9">
        <f>SUM(C400:C405)</f>
        <v>800</v>
      </c>
      <c r="D406" s="9">
        <f t="shared" ref="D406:O406" si="115">SUM(D400:D405)</f>
        <v>32.49</v>
      </c>
      <c r="E406" s="9">
        <f t="shared" si="115"/>
        <v>30.41</v>
      </c>
      <c r="F406" s="9">
        <f t="shared" si="115"/>
        <v>115.57</v>
      </c>
      <c r="G406" s="9">
        <f t="shared" si="115"/>
        <v>865.93000000000006</v>
      </c>
      <c r="H406" s="9">
        <f t="shared" si="115"/>
        <v>0.31</v>
      </c>
      <c r="I406" s="9">
        <f t="shared" si="115"/>
        <v>0.33900000000000002</v>
      </c>
      <c r="J406" s="9">
        <f t="shared" si="115"/>
        <v>36.28</v>
      </c>
      <c r="K406" s="9">
        <f t="shared" si="115"/>
        <v>265.10000000000002</v>
      </c>
      <c r="L406" s="9">
        <f t="shared" si="115"/>
        <v>379.76</v>
      </c>
      <c r="M406" s="9">
        <f t="shared" si="115"/>
        <v>113.02</v>
      </c>
      <c r="N406" s="9">
        <f t="shared" si="115"/>
        <v>447.40000000000003</v>
      </c>
      <c r="O406" s="10">
        <f t="shared" si="115"/>
        <v>6.46</v>
      </c>
    </row>
    <row r="407" spans="1:15" ht="16.5" thickBot="1" x14ac:dyDescent="0.3">
      <c r="A407" s="28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30"/>
    </row>
    <row r="408" spans="1:15" ht="15.75" x14ac:dyDescent="0.25">
      <c r="A408" s="144" t="s">
        <v>74</v>
      </c>
      <c r="B408" s="145"/>
      <c r="C408" s="67">
        <f>C392+C406</f>
        <v>1340</v>
      </c>
      <c r="D408" s="68">
        <f t="shared" ref="D408:O408" si="116">D392+D406</f>
        <v>53.14</v>
      </c>
      <c r="E408" s="68">
        <f t="shared" si="116"/>
        <v>56.73</v>
      </c>
      <c r="F408" s="68">
        <f t="shared" si="116"/>
        <v>211.61</v>
      </c>
      <c r="G408" s="68">
        <f t="shared" si="116"/>
        <v>1569.57</v>
      </c>
      <c r="H408" s="67">
        <f t="shared" si="116"/>
        <v>0.91200000000000014</v>
      </c>
      <c r="I408" s="67">
        <f t="shared" si="116"/>
        <v>1.099</v>
      </c>
      <c r="J408" s="67">
        <f t="shared" si="116"/>
        <v>42.58</v>
      </c>
      <c r="K408" s="67">
        <f t="shared" si="116"/>
        <v>540.90000000000009</v>
      </c>
      <c r="L408" s="67">
        <f t="shared" si="116"/>
        <v>719.51</v>
      </c>
      <c r="M408" s="67">
        <f t="shared" si="116"/>
        <v>180.06</v>
      </c>
      <c r="N408" s="67">
        <f t="shared" si="116"/>
        <v>720.40000000000009</v>
      </c>
      <c r="O408" s="69">
        <f t="shared" si="116"/>
        <v>11.280000000000001</v>
      </c>
    </row>
    <row r="409" spans="1:15" ht="16.5" thickBot="1" x14ac:dyDescent="0.3">
      <c r="A409" s="146" t="s">
        <v>75</v>
      </c>
      <c r="B409" s="147"/>
      <c r="C409" s="70">
        <f t="shared" ref="C409:O409" si="117">C398+C406</f>
        <v>1300</v>
      </c>
      <c r="D409" s="71">
        <f t="shared" si="117"/>
        <v>55.31</v>
      </c>
      <c r="E409" s="71">
        <f>E398+E406</f>
        <v>52.489999999999995</v>
      </c>
      <c r="F409" s="71">
        <f t="shared" si="117"/>
        <v>215.17</v>
      </c>
      <c r="G409" s="71">
        <f t="shared" si="117"/>
        <v>1554.33</v>
      </c>
      <c r="H409" s="70">
        <f t="shared" si="117"/>
        <v>0.93400000000000016</v>
      </c>
      <c r="I409" s="70">
        <f t="shared" si="117"/>
        <v>0.94200000000000017</v>
      </c>
      <c r="J409" s="70">
        <f t="shared" si="117"/>
        <v>42.88</v>
      </c>
      <c r="K409" s="70">
        <f t="shared" si="117"/>
        <v>540.70000000000005</v>
      </c>
      <c r="L409" s="77">
        <f t="shared" si="117"/>
        <v>720.36</v>
      </c>
      <c r="M409" s="70">
        <f t="shared" si="117"/>
        <v>182.62</v>
      </c>
      <c r="N409" s="70">
        <f t="shared" si="117"/>
        <v>720.08</v>
      </c>
      <c r="O409" s="72">
        <f t="shared" si="117"/>
        <v>11.309999999999999</v>
      </c>
    </row>
    <row r="410" spans="1:15" s="1" customFormat="1" ht="15.75" x14ac:dyDescent="0.25">
      <c r="A410" s="32"/>
      <c r="B410" s="32"/>
      <c r="C410" s="34"/>
      <c r="D410" s="34"/>
      <c r="E410" s="34"/>
      <c r="F410" s="34"/>
      <c r="G410" s="34"/>
      <c r="H410" s="34"/>
      <c r="I410" s="34"/>
      <c r="J410" s="34"/>
      <c r="K410" s="34"/>
      <c r="L410" s="33"/>
      <c r="M410" s="34"/>
      <c r="N410" s="34"/>
      <c r="O410" s="34"/>
    </row>
    <row r="411" spans="1:15" s="1" customFormat="1" ht="15.75" x14ac:dyDescent="0.25">
      <c r="A411" s="32"/>
      <c r="B411" s="32"/>
      <c r="C411" s="34"/>
      <c r="D411" s="34"/>
      <c r="E411" s="34"/>
      <c r="F411" s="34"/>
      <c r="G411" s="34"/>
      <c r="H411" s="34"/>
      <c r="I411" s="34"/>
      <c r="J411" s="34"/>
      <c r="K411" s="34"/>
      <c r="L411" s="33"/>
      <c r="M411" s="34"/>
      <c r="N411" s="34"/>
      <c r="O411" s="34"/>
    </row>
    <row r="412" spans="1:15" s="1" customFormat="1" x14ac:dyDescent="0.25">
      <c r="A412" s="87" t="s">
        <v>210</v>
      </c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</row>
    <row r="413" spans="1:15" s="1" customFormat="1" ht="15.75" x14ac:dyDescent="0.25">
      <c r="A413" s="32"/>
      <c r="B413" s="32"/>
      <c r="C413" s="34"/>
      <c r="D413" s="34"/>
      <c r="E413" s="34"/>
      <c r="F413" s="34"/>
      <c r="G413" s="34"/>
      <c r="H413" s="34"/>
      <c r="I413" s="34"/>
      <c r="J413" s="34"/>
      <c r="K413" s="34"/>
      <c r="L413" s="33"/>
      <c r="M413" s="34"/>
      <c r="N413" s="34"/>
      <c r="O413" s="34"/>
    </row>
    <row r="414" spans="1:15" ht="16.5" thickBot="1" x14ac:dyDescent="0.3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</row>
    <row r="415" spans="1:15" ht="15.75" x14ac:dyDescent="0.25">
      <c r="A415" s="140" t="s">
        <v>78</v>
      </c>
      <c r="B415" s="141"/>
      <c r="C415" s="141"/>
      <c r="D415" s="141"/>
      <c r="E415" s="141"/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</row>
    <row r="416" spans="1:15" ht="15.75" x14ac:dyDescent="0.25">
      <c r="A416" s="138" t="s">
        <v>76</v>
      </c>
      <c r="B416" s="139"/>
      <c r="C416" s="57">
        <f t="shared" ref="C416:O416" si="118">(C16+C52+C86+C120+C154+C188+C221+C256+C289+C324+C358+C392)/12</f>
        <v>555.83333333333337</v>
      </c>
      <c r="D416" s="57">
        <f t="shared" si="118"/>
        <v>20.526666666666667</v>
      </c>
      <c r="E416" s="57">
        <f t="shared" si="118"/>
        <v>21.38666666666667</v>
      </c>
      <c r="F416" s="57">
        <f t="shared" si="118"/>
        <v>97.228333333333353</v>
      </c>
      <c r="G416" s="57">
        <f t="shared" si="118"/>
        <v>663.49999999999989</v>
      </c>
      <c r="H416" s="57">
        <f t="shared" si="118"/>
        <v>0.34625</v>
      </c>
      <c r="I416" s="57">
        <f t="shared" si="118"/>
        <v>0.49608333333333327</v>
      </c>
      <c r="J416" s="57">
        <f t="shared" si="118"/>
        <v>13.81</v>
      </c>
      <c r="K416" s="57">
        <f t="shared" si="118"/>
        <v>215.97499999999999</v>
      </c>
      <c r="L416" s="57">
        <f t="shared" si="118"/>
        <v>283.20999999999998</v>
      </c>
      <c r="M416" s="57">
        <f t="shared" si="118"/>
        <v>59.111666666666657</v>
      </c>
      <c r="N416" s="57">
        <f t="shared" si="118"/>
        <v>275.13999999999993</v>
      </c>
      <c r="O416" s="57">
        <f t="shared" si="118"/>
        <v>4.9873333333333338</v>
      </c>
    </row>
    <row r="417" spans="1:15" ht="15.75" x14ac:dyDescent="0.25">
      <c r="A417" s="138" t="s">
        <v>77</v>
      </c>
      <c r="B417" s="139"/>
      <c r="C417" s="57">
        <f t="shared" ref="C417:O417" si="119">SUM(C23+C59+C93+C127+C161+C194+C228+C263+C296+C331+C365+C398)/12</f>
        <v>545</v>
      </c>
      <c r="D417" s="57">
        <f t="shared" si="119"/>
        <v>20.086583333333337</v>
      </c>
      <c r="E417" s="57">
        <f t="shared" si="119"/>
        <v>21.15925</v>
      </c>
      <c r="F417" s="57">
        <f t="shared" si="119"/>
        <v>99.181708333333333</v>
      </c>
      <c r="G417" s="57">
        <f t="shared" si="119"/>
        <v>667.50641666666661</v>
      </c>
      <c r="H417" s="57">
        <f t="shared" si="119"/>
        <v>0.35600000000000004</v>
      </c>
      <c r="I417" s="57">
        <f t="shared" si="119"/>
        <v>0.49358333333333332</v>
      </c>
      <c r="J417" s="57">
        <f t="shared" si="119"/>
        <v>14.270833333333334</v>
      </c>
      <c r="K417" s="57">
        <f t="shared" si="119"/>
        <v>213.98749999999995</v>
      </c>
      <c r="L417" s="57">
        <f t="shared" si="119"/>
        <v>268.21083333333337</v>
      </c>
      <c r="M417" s="57">
        <f t="shared" si="119"/>
        <v>59.606666666666676</v>
      </c>
      <c r="N417" s="57">
        <f t="shared" si="119"/>
        <v>268.94833333333332</v>
      </c>
      <c r="O417" s="57">
        <f t="shared" si="119"/>
        <v>4.7116666666666669</v>
      </c>
    </row>
    <row r="418" spans="1:15" ht="15.75" x14ac:dyDescent="0.25">
      <c r="A418" s="138" t="s">
        <v>37</v>
      </c>
      <c r="B418" s="139"/>
      <c r="C418" s="57">
        <f t="shared" ref="C418:O418" si="120">SUM(C31+C67+C101+C135+C169+C202+C236+C271+C304+C339+C373+C406)/12</f>
        <v>814.16666666666663</v>
      </c>
      <c r="D418" s="57">
        <f t="shared" si="120"/>
        <v>34.561250000000001</v>
      </c>
      <c r="E418" s="57">
        <f t="shared" si="120"/>
        <v>34.389166666666675</v>
      </c>
      <c r="F418" s="57">
        <f t="shared" si="120"/>
        <v>131.35999999999999</v>
      </c>
      <c r="G418" s="57">
        <f t="shared" si="120"/>
        <v>973.1875</v>
      </c>
      <c r="H418" s="57">
        <f t="shared" si="120"/>
        <v>0.51283333333333336</v>
      </c>
      <c r="I418" s="57">
        <f t="shared" si="120"/>
        <v>0.48608333333333342</v>
      </c>
      <c r="J418" s="57">
        <f t="shared" si="120"/>
        <v>28.761500000000002</v>
      </c>
      <c r="K418" s="57">
        <f t="shared" si="120"/>
        <v>324.67916666666662</v>
      </c>
      <c r="L418" s="57">
        <f t="shared" si="120"/>
        <v>437.44000000000005</v>
      </c>
      <c r="M418" s="57">
        <f t="shared" si="120"/>
        <v>122.13083333333333</v>
      </c>
      <c r="N418" s="57">
        <f t="shared" si="120"/>
        <v>445.08249999999998</v>
      </c>
      <c r="O418" s="57">
        <f t="shared" si="120"/>
        <v>5.8961666666666668</v>
      </c>
    </row>
    <row r="419" spans="1:15" ht="15.75" x14ac:dyDescent="0.25">
      <c r="A419" s="134" t="s">
        <v>79</v>
      </c>
      <c r="B419" s="135"/>
      <c r="C419" s="57">
        <f t="shared" ref="C419:O419" si="121">SUM(C33+C69+C103+C137+C171+C204+C238+C273+C306+C341+C375+C408)/12</f>
        <v>1370</v>
      </c>
      <c r="D419" s="57">
        <f t="shared" si="121"/>
        <v>55.087916666666665</v>
      </c>
      <c r="E419" s="57">
        <f t="shared" si="121"/>
        <v>55.775833333333338</v>
      </c>
      <c r="F419" s="57">
        <f t="shared" si="121"/>
        <v>228.58833333333337</v>
      </c>
      <c r="G419" s="57">
        <f t="shared" si="121"/>
        <v>1636.6874999999998</v>
      </c>
      <c r="H419" s="57">
        <f t="shared" si="121"/>
        <v>0.85908333333333353</v>
      </c>
      <c r="I419" s="57">
        <f t="shared" si="121"/>
        <v>0.98216666666666674</v>
      </c>
      <c r="J419" s="57">
        <f t="shared" si="121"/>
        <v>42.5715</v>
      </c>
      <c r="K419" s="57">
        <f t="shared" si="121"/>
        <v>540.65416666666658</v>
      </c>
      <c r="L419" s="57">
        <f t="shared" si="121"/>
        <v>720.65000000000009</v>
      </c>
      <c r="M419" s="57">
        <f t="shared" si="121"/>
        <v>181.24250000000004</v>
      </c>
      <c r="N419" s="57">
        <f t="shared" si="121"/>
        <v>720.22249999999997</v>
      </c>
      <c r="O419" s="57">
        <f t="shared" si="121"/>
        <v>10.8835</v>
      </c>
    </row>
    <row r="420" spans="1:15" ht="15.75" x14ac:dyDescent="0.25">
      <c r="A420" s="137" t="s">
        <v>80</v>
      </c>
      <c r="B420" s="137"/>
      <c r="C420" s="57">
        <f t="shared" ref="C420:O420" si="122">SUM(C34+C70+C104+C138+C172+C205+C239+C274+C307+C342+C376+C409)/12</f>
        <v>1359.1666666666667</v>
      </c>
      <c r="D420" s="57">
        <f t="shared" si="122"/>
        <v>54.647833333333345</v>
      </c>
      <c r="E420" s="57">
        <f t="shared" si="122"/>
        <v>55.548416666666668</v>
      </c>
      <c r="F420" s="57">
        <f t="shared" si="122"/>
        <v>230.54170833333333</v>
      </c>
      <c r="G420" s="57">
        <f t="shared" si="122"/>
        <v>1640.6939166666664</v>
      </c>
      <c r="H420" s="57">
        <f t="shared" si="122"/>
        <v>0.86883333333333346</v>
      </c>
      <c r="I420" s="57">
        <f t="shared" si="122"/>
        <v>0.97966666666666669</v>
      </c>
      <c r="J420" s="57">
        <f t="shared" si="122"/>
        <v>43.032333333333334</v>
      </c>
      <c r="K420" s="57">
        <f t="shared" si="122"/>
        <v>538.66666666666663</v>
      </c>
      <c r="L420" s="57">
        <f t="shared" si="122"/>
        <v>705.65083333333325</v>
      </c>
      <c r="M420" s="57">
        <f t="shared" si="122"/>
        <v>181.73749999999998</v>
      </c>
      <c r="N420" s="57">
        <f t="shared" si="122"/>
        <v>714.03083333333336</v>
      </c>
      <c r="O420" s="57">
        <f t="shared" si="122"/>
        <v>10.607833333333334</v>
      </c>
    </row>
    <row r="421" spans="1:15" ht="15.75" x14ac:dyDescent="0.25">
      <c r="A421" s="153" t="s">
        <v>81</v>
      </c>
      <c r="B421" s="152"/>
      <c r="C421" s="152"/>
      <c r="D421" s="152"/>
      <c r="E421" s="152"/>
      <c r="F421" s="152"/>
      <c r="G421" s="152"/>
      <c r="H421" s="152"/>
      <c r="I421" s="152"/>
      <c r="J421" s="152"/>
      <c r="K421" s="152"/>
      <c r="L421" s="152"/>
      <c r="M421" s="152"/>
      <c r="N421" s="152"/>
      <c r="O421" s="152"/>
    </row>
    <row r="422" spans="1:15" ht="15.75" x14ac:dyDescent="0.25">
      <c r="A422" s="138" t="s">
        <v>76</v>
      </c>
      <c r="B422" s="139"/>
      <c r="C422" s="82"/>
      <c r="D422" s="57">
        <f>D416*100/22.5</f>
        <v>91.229629629629628</v>
      </c>
      <c r="E422" s="57">
        <f>E416*100/23</f>
        <v>92.985507246376827</v>
      </c>
      <c r="F422" s="57">
        <f>F416*100/95.75</f>
        <v>101.54395126196695</v>
      </c>
      <c r="G422" s="57">
        <f>G416*100/680</f>
        <v>97.573529411764682</v>
      </c>
      <c r="H422" s="57">
        <f>H416*100/0.35</f>
        <v>98.928571428571431</v>
      </c>
      <c r="I422" s="57">
        <f>I416*100/0.4</f>
        <v>124.02083333333331</v>
      </c>
      <c r="J422" s="57">
        <f>J416*100/17.5</f>
        <v>78.914285714285711</v>
      </c>
      <c r="K422" s="57">
        <f>K416*100/225</f>
        <v>95.988888888888894</v>
      </c>
      <c r="L422" s="57">
        <f>L416*100/300</f>
        <v>94.403333333333322</v>
      </c>
      <c r="M422" s="57">
        <f>M416*100/75</f>
        <v>78.815555555555548</v>
      </c>
      <c r="N422" s="57">
        <f>N416*100/300</f>
        <v>91.71333333333331</v>
      </c>
      <c r="O422" s="57">
        <f>O416*100/4.5</f>
        <v>110.82962962962965</v>
      </c>
    </row>
    <row r="423" spans="1:15" ht="15.75" x14ac:dyDescent="0.25">
      <c r="A423" s="138" t="s">
        <v>77</v>
      </c>
      <c r="B423" s="139"/>
      <c r="C423" s="82"/>
      <c r="D423" s="57">
        <f>D417*100/22.5</f>
        <v>89.273703703703717</v>
      </c>
      <c r="E423" s="57">
        <f>E417*100/23</f>
        <v>91.99673913043479</v>
      </c>
      <c r="F423" s="57">
        <f>F417*100/95.75</f>
        <v>103.58402959094866</v>
      </c>
      <c r="G423" s="57">
        <f>G417*100/680</f>
        <v>98.162708333333327</v>
      </c>
      <c r="H423" s="57">
        <f>H417*100/0.35</f>
        <v>101.71428571428572</v>
      </c>
      <c r="I423" s="57">
        <f>I417*100/0.4</f>
        <v>123.39583333333333</v>
      </c>
      <c r="J423" s="57">
        <f>J417*100/17.5</f>
        <v>81.547619047619051</v>
      </c>
      <c r="K423" s="57">
        <f>K417*100/225</f>
        <v>95.10555555555554</v>
      </c>
      <c r="L423" s="57">
        <f>L417*100/300</f>
        <v>89.403611111111118</v>
      </c>
      <c r="M423" s="57">
        <f>M417*100/75</f>
        <v>79.475555555555573</v>
      </c>
      <c r="N423" s="57">
        <f>N417*100/300</f>
        <v>89.649444444444441</v>
      </c>
      <c r="O423" s="57">
        <f>O417*100/4.5</f>
        <v>104.70370370370371</v>
      </c>
    </row>
    <row r="424" spans="1:15" ht="15.75" x14ac:dyDescent="0.25">
      <c r="A424" s="138" t="s">
        <v>37</v>
      </c>
      <c r="B424" s="139"/>
      <c r="C424" s="82"/>
      <c r="D424" s="57">
        <f>D418*100/31.5</f>
        <v>109.71825396825396</v>
      </c>
      <c r="E424" s="57">
        <f>E418*100/32.2</f>
        <v>106.79865424430643</v>
      </c>
      <c r="F424" s="57">
        <f>F418*100/134.05</f>
        <v>97.99328608728085</v>
      </c>
      <c r="G424" s="57">
        <f>G418*100/952</f>
        <v>102.22557773109244</v>
      </c>
      <c r="H424" s="57">
        <f>H418*100/0.49</f>
        <v>104.65986394557824</v>
      </c>
      <c r="I424" s="57">
        <f>I418*100/0.56</f>
        <v>86.800595238095241</v>
      </c>
      <c r="J424" s="57">
        <f>J418*100/24.5</f>
        <v>117.39387755102041</v>
      </c>
      <c r="K424" s="57">
        <f>K418*100/315</f>
        <v>103.0727513227513</v>
      </c>
      <c r="L424" s="57">
        <f>L418*100/420</f>
        <v>104.15238095238097</v>
      </c>
      <c r="M424" s="57">
        <f>M418*100/105</f>
        <v>116.31507936507936</v>
      </c>
      <c r="N424" s="57">
        <f>N418*100/420</f>
        <v>105.9720238095238</v>
      </c>
      <c r="O424" s="57">
        <f>O418*100/6.3</f>
        <v>93.589947089947088</v>
      </c>
    </row>
    <row r="425" spans="1:15" ht="15.75" x14ac:dyDescent="0.25">
      <c r="A425" s="154" t="s">
        <v>79</v>
      </c>
      <c r="B425" s="155"/>
      <c r="C425" s="83">
        <f>C419*100/1350</f>
        <v>101.48148148148148</v>
      </c>
      <c r="D425" s="83">
        <f>D419*100/54</f>
        <v>102.01466049382715</v>
      </c>
      <c r="E425" s="83">
        <f>E419*100/55.2</f>
        <v>101.04317632850243</v>
      </c>
      <c r="F425" s="83">
        <f>F419*100/229.8</f>
        <v>99.472729910066732</v>
      </c>
      <c r="G425" s="83">
        <f>G419*100/1632</f>
        <v>100.28722426470587</v>
      </c>
      <c r="H425" s="83">
        <f>H419*100/0.84</f>
        <v>102.27182539682543</v>
      </c>
      <c r="I425" s="83">
        <f>I419*100/0.96</f>
        <v>102.30902777777779</v>
      </c>
      <c r="J425" s="83">
        <f>J419*100/42</f>
        <v>101.36071428571428</v>
      </c>
      <c r="K425" s="83">
        <f>K419*100/540</f>
        <v>100.12114197530862</v>
      </c>
      <c r="L425" s="83">
        <f>L419*100/720</f>
        <v>100.0902777777778</v>
      </c>
      <c r="M425" s="83">
        <f>M419*100/180</f>
        <v>100.69027777777779</v>
      </c>
      <c r="N425" s="83">
        <f>N419*100/720</f>
        <v>100.03090277777778</v>
      </c>
      <c r="O425" s="83">
        <f>O419*100/10.8</f>
        <v>100.77314814814814</v>
      </c>
    </row>
    <row r="426" spans="1:15" ht="15.75" x14ac:dyDescent="0.25">
      <c r="A426" s="152" t="s">
        <v>80</v>
      </c>
      <c r="B426" s="152"/>
      <c r="C426" s="83">
        <f>C420*100/1350</f>
        <v>100.67901234567903</v>
      </c>
      <c r="D426" s="83">
        <f>D420*100/54</f>
        <v>101.19969135802472</v>
      </c>
      <c r="E426" s="83">
        <f>E420*100/55.2</f>
        <v>100.63118961352657</v>
      </c>
      <c r="F426" s="83">
        <f>F420*100/229.8</f>
        <v>100.32276254714243</v>
      </c>
      <c r="G426" s="83">
        <f>G420*100/1632</f>
        <v>100.53271548202612</v>
      </c>
      <c r="H426" s="83">
        <f>H420*100/0.84</f>
        <v>103.4325396825397</v>
      </c>
      <c r="I426" s="83">
        <f>I420*100/0.96</f>
        <v>102.04861111111111</v>
      </c>
      <c r="J426" s="83">
        <f>J420*100/42</f>
        <v>102.45793650793651</v>
      </c>
      <c r="K426" s="83">
        <f>K420*100/540</f>
        <v>99.753086419753089</v>
      </c>
      <c r="L426" s="83">
        <f>L420*100/720</f>
        <v>98.007060185185182</v>
      </c>
      <c r="M426" s="83">
        <f>M420*100/180</f>
        <v>100.96527777777777</v>
      </c>
      <c r="N426" s="83">
        <f>N420*100/720</f>
        <v>99.170949074074088</v>
      </c>
      <c r="O426" s="83">
        <f>O420*100/10.8</f>
        <v>98.22067901234567</v>
      </c>
    </row>
  </sheetData>
  <sheetProtection sheet="1" objects="1" scenarios="1"/>
  <mergeCells count="228">
    <mergeCell ref="B314:B315"/>
    <mergeCell ref="C314:C315"/>
    <mergeCell ref="D314:F314"/>
    <mergeCell ref="G314:G315"/>
    <mergeCell ref="H314:K314"/>
    <mergeCell ref="L314:O314"/>
    <mergeCell ref="A349:A350"/>
    <mergeCell ref="B349:B350"/>
    <mergeCell ref="C349:C350"/>
    <mergeCell ref="D349:F349"/>
    <mergeCell ref="G349:G350"/>
    <mergeCell ref="H349:K349"/>
    <mergeCell ref="L349:O349"/>
    <mergeCell ref="A342:B342"/>
    <mergeCell ref="A212:A213"/>
    <mergeCell ref="B212:B213"/>
    <mergeCell ref="C212:C213"/>
    <mergeCell ref="D212:F212"/>
    <mergeCell ref="G212:G213"/>
    <mergeCell ref="H212:K212"/>
    <mergeCell ref="L212:O212"/>
    <mergeCell ref="A247:A248"/>
    <mergeCell ref="B247:B248"/>
    <mergeCell ref="C247:C248"/>
    <mergeCell ref="D247:F247"/>
    <mergeCell ref="G247:G248"/>
    <mergeCell ref="H247:K247"/>
    <mergeCell ref="L247:O247"/>
    <mergeCell ref="H111:K111"/>
    <mergeCell ref="L111:O111"/>
    <mergeCell ref="A144:A145"/>
    <mergeCell ref="B144:B145"/>
    <mergeCell ref="C144:C145"/>
    <mergeCell ref="D144:F144"/>
    <mergeCell ref="G144:G145"/>
    <mergeCell ref="H144:K144"/>
    <mergeCell ref="L144:O144"/>
    <mergeCell ref="A138:B138"/>
    <mergeCell ref="A1:O1"/>
    <mergeCell ref="A40:O40"/>
    <mergeCell ref="A75:O75"/>
    <mergeCell ref="A109:O109"/>
    <mergeCell ref="A142:O142"/>
    <mergeCell ref="A177:O177"/>
    <mergeCell ref="A210:O210"/>
    <mergeCell ref="A245:O245"/>
    <mergeCell ref="A38:O38"/>
    <mergeCell ref="A73:O73"/>
    <mergeCell ref="A107:O107"/>
    <mergeCell ref="A140:O140"/>
    <mergeCell ref="A175:O175"/>
    <mergeCell ref="A208:O208"/>
    <mergeCell ref="A243:O243"/>
    <mergeCell ref="A205:B205"/>
    <mergeCell ref="A214:O214"/>
    <mergeCell ref="A215:O215"/>
    <mergeCell ref="A221:B221"/>
    <mergeCell ref="A222:O222"/>
    <mergeCell ref="A228:B228"/>
    <mergeCell ref="A188:B188"/>
    <mergeCell ref="A189:O189"/>
    <mergeCell ref="A194:B194"/>
    <mergeCell ref="A426:B426"/>
    <mergeCell ref="A420:B420"/>
    <mergeCell ref="A421:O421"/>
    <mergeCell ref="A422:B422"/>
    <mergeCell ref="A423:B423"/>
    <mergeCell ref="A424:B424"/>
    <mergeCell ref="A425:B425"/>
    <mergeCell ref="A409:B409"/>
    <mergeCell ref="A415:O415"/>
    <mergeCell ref="A416:B416"/>
    <mergeCell ref="A417:B417"/>
    <mergeCell ref="A418:B418"/>
    <mergeCell ref="A419:B419"/>
    <mergeCell ref="A412:O412"/>
    <mergeCell ref="A392:B392"/>
    <mergeCell ref="A393:O393"/>
    <mergeCell ref="A398:B398"/>
    <mergeCell ref="A399:O399"/>
    <mergeCell ref="A406:B406"/>
    <mergeCell ref="A408:B408"/>
    <mergeCell ref="A366:O366"/>
    <mergeCell ref="A373:B373"/>
    <mergeCell ref="A375:B375"/>
    <mergeCell ref="A376:B376"/>
    <mergeCell ref="A385:O385"/>
    <mergeCell ref="A386:O386"/>
    <mergeCell ref="A381:O381"/>
    <mergeCell ref="A379:O379"/>
    <mergeCell ref="A383:A384"/>
    <mergeCell ref="B383:B384"/>
    <mergeCell ref="C383:C384"/>
    <mergeCell ref="D383:F383"/>
    <mergeCell ref="G383:G384"/>
    <mergeCell ref="H383:K383"/>
    <mergeCell ref="L383:O383"/>
    <mergeCell ref="A359:O359"/>
    <mergeCell ref="A365:B365"/>
    <mergeCell ref="A324:B324"/>
    <mergeCell ref="A325:O325"/>
    <mergeCell ref="A331:B331"/>
    <mergeCell ref="A332:O332"/>
    <mergeCell ref="A339:B339"/>
    <mergeCell ref="A341:B341"/>
    <mergeCell ref="A347:O347"/>
    <mergeCell ref="A345:O345"/>
    <mergeCell ref="A351:O351"/>
    <mergeCell ref="A352:O352"/>
    <mergeCell ref="A358:B358"/>
    <mergeCell ref="A297:O297"/>
    <mergeCell ref="A304:B304"/>
    <mergeCell ref="A306:B306"/>
    <mergeCell ref="A307:B307"/>
    <mergeCell ref="A316:O316"/>
    <mergeCell ref="A317:O317"/>
    <mergeCell ref="A274:B274"/>
    <mergeCell ref="A282:O282"/>
    <mergeCell ref="A283:O283"/>
    <mergeCell ref="A289:B289"/>
    <mergeCell ref="A290:O290"/>
    <mergeCell ref="A296:B296"/>
    <mergeCell ref="A278:O278"/>
    <mergeCell ref="A312:O312"/>
    <mergeCell ref="A276:O276"/>
    <mergeCell ref="A310:O310"/>
    <mergeCell ref="A280:A281"/>
    <mergeCell ref="B280:B281"/>
    <mergeCell ref="C280:C281"/>
    <mergeCell ref="D280:F280"/>
    <mergeCell ref="G280:G281"/>
    <mergeCell ref="H280:K280"/>
    <mergeCell ref="L280:O280"/>
    <mergeCell ref="A314:A315"/>
    <mergeCell ref="A256:B256"/>
    <mergeCell ref="A257:O257"/>
    <mergeCell ref="A263:B263"/>
    <mergeCell ref="A264:O264"/>
    <mergeCell ref="A271:B271"/>
    <mergeCell ref="A273:B273"/>
    <mergeCell ref="A229:O229"/>
    <mergeCell ref="A236:B236"/>
    <mergeCell ref="A238:B238"/>
    <mergeCell ref="A239:B239"/>
    <mergeCell ref="A249:O249"/>
    <mergeCell ref="A250:O250"/>
    <mergeCell ref="A195:O195"/>
    <mergeCell ref="A202:B202"/>
    <mergeCell ref="A204:B204"/>
    <mergeCell ref="A162:O162"/>
    <mergeCell ref="A169:B169"/>
    <mergeCell ref="A171:B171"/>
    <mergeCell ref="A172:B172"/>
    <mergeCell ref="A181:O181"/>
    <mergeCell ref="A182:O182"/>
    <mergeCell ref="A179:A180"/>
    <mergeCell ref="B179:B180"/>
    <mergeCell ref="C179:C180"/>
    <mergeCell ref="D179:F179"/>
    <mergeCell ref="G179:G180"/>
    <mergeCell ref="H179:K179"/>
    <mergeCell ref="L179:O179"/>
    <mergeCell ref="A146:O146"/>
    <mergeCell ref="A147:O147"/>
    <mergeCell ref="A154:B154"/>
    <mergeCell ref="A155:O155"/>
    <mergeCell ref="A161:B161"/>
    <mergeCell ref="A120:B120"/>
    <mergeCell ref="A121:O121"/>
    <mergeCell ref="A127:B127"/>
    <mergeCell ref="A128:O128"/>
    <mergeCell ref="A135:B135"/>
    <mergeCell ref="A137:B137"/>
    <mergeCell ref="A94:O94"/>
    <mergeCell ref="A101:B101"/>
    <mergeCell ref="A103:B103"/>
    <mergeCell ref="A104:B104"/>
    <mergeCell ref="A113:O113"/>
    <mergeCell ref="A114:O114"/>
    <mergeCell ref="A70:B70"/>
    <mergeCell ref="A79:O79"/>
    <mergeCell ref="A80:O80"/>
    <mergeCell ref="A86:B86"/>
    <mergeCell ref="A87:O87"/>
    <mergeCell ref="A93:B93"/>
    <mergeCell ref="A77:A78"/>
    <mergeCell ref="B77:B78"/>
    <mergeCell ref="C77:C78"/>
    <mergeCell ref="D77:F77"/>
    <mergeCell ref="G77:G78"/>
    <mergeCell ref="H77:K77"/>
    <mergeCell ref="L77:O77"/>
    <mergeCell ref="A111:A112"/>
    <mergeCell ref="B111:B112"/>
    <mergeCell ref="C111:C112"/>
    <mergeCell ref="D111:F111"/>
    <mergeCell ref="G111:G112"/>
    <mergeCell ref="A52:B52"/>
    <mergeCell ref="A53:O53"/>
    <mergeCell ref="A59:B59"/>
    <mergeCell ref="A60:O60"/>
    <mergeCell ref="A67:B67"/>
    <mergeCell ref="A69:B69"/>
    <mergeCell ref="A24:O24"/>
    <mergeCell ref="A31:B31"/>
    <mergeCell ref="A33:B33"/>
    <mergeCell ref="A34:B34"/>
    <mergeCell ref="A45:O45"/>
    <mergeCell ref="A46:O46"/>
    <mergeCell ref="A43:A44"/>
    <mergeCell ref="B43:B44"/>
    <mergeCell ref="C43:C44"/>
    <mergeCell ref="D43:F43"/>
    <mergeCell ref="G43:G44"/>
    <mergeCell ref="H43:K43"/>
    <mergeCell ref="L43:O43"/>
    <mergeCell ref="L6:O6"/>
    <mergeCell ref="A8:O8"/>
    <mergeCell ref="A9:O9"/>
    <mergeCell ref="A16:B16"/>
    <mergeCell ref="A17:O17"/>
    <mergeCell ref="A23:B23"/>
    <mergeCell ref="A6:A7"/>
    <mergeCell ref="B6:B7"/>
    <mergeCell ref="C6:C7"/>
    <mergeCell ref="D6:F6"/>
    <mergeCell ref="G6:G7"/>
    <mergeCell ref="H6:K6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11" manualBreakCount="11">
    <brk id="41" max="16383" man="1"/>
    <brk id="75" max="16383" man="1"/>
    <brk id="109" max="16383" man="1"/>
    <brk id="142" max="16383" man="1"/>
    <brk id="177" max="16383" man="1"/>
    <brk id="210" max="16383" man="1"/>
    <brk id="245" max="16383" man="1"/>
    <brk id="278" max="16383" man="1"/>
    <brk id="312" max="16383" man="1"/>
    <brk id="347" max="16383" man="1"/>
    <brk id="38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начальная школа</vt:lpstr>
      <vt:lpstr>12 лет и старше</vt:lpstr>
      <vt:lpstr>Лист3</vt:lpstr>
      <vt:lpstr>Лист4</vt:lpstr>
      <vt:lpstr>'12 лет и старше'!Область_печати</vt:lpstr>
      <vt:lpstr>'начальная школа'!Область_печати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Валентина</dc:creator>
  <cp:lastModifiedBy>Попова Валентина</cp:lastModifiedBy>
  <cp:lastPrinted>2025-07-16T10:25:30Z</cp:lastPrinted>
  <dcterms:created xsi:type="dcterms:W3CDTF">2024-07-12T05:39:10Z</dcterms:created>
  <dcterms:modified xsi:type="dcterms:W3CDTF">2025-08-20T12:30:42Z</dcterms:modified>
</cp:coreProperties>
</file>